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cuments\Jobs\NEWF 2012\SHS 2017\"/>
    </mc:Choice>
  </mc:AlternateContent>
  <bookViews>
    <workbookView xWindow="0" yWindow="0" windowWidth="20325" windowHeight="10575" xr2:uid="{81981864-D73A-4C97-873D-EB65E31A0868}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</calcChain>
</file>

<file path=xl/sharedStrings.xml><?xml version="1.0" encoding="utf-8"?>
<sst xmlns="http://schemas.openxmlformats.org/spreadsheetml/2006/main" count="6767" uniqueCount="2494">
  <si>
    <t>Entry Number</t>
  </si>
  <si>
    <t>Council Area</t>
  </si>
  <si>
    <t>Book</t>
  </si>
  <si>
    <t>Type of trade</t>
  </si>
  <si>
    <t>Please name your fundraiser</t>
  </si>
  <si>
    <t>Street Number</t>
  </si>
  <si>
    <t>Street Name</t>
  </si>
  <si>
    <t>Suburb</t>
  </si>
  <si>
    <t>The most valuable treasure you will part with is...</t>
  </si>
  <si>
    <t>Category 1</t>
  </si>
  <si>
    <t>Category 2</t>
  </si>
  <si>
    <t>Any other items of interest?</t>
  </si>
  <si>
    <t>00717</t>
  </si>
  <si>
    <t>Richmond Valley</t>
  </si>
  <si>
    <t>1 x Saturday 23 September</t>
  </si>
  <si>
    <t>Sell</t>
  </si>
  <si>
    <t>Cypress St</t>
  </si>
  <si>
    <t>EVANS HEAD</t>
  </si>
  <si>
    <t>Clothing</t>
  </si>
  <si>
    <t>Bric-a-Brac</t>
  </si>
  <si>
    <t>jewellery, art, white leather bed head and slatted base</t>
  </si>
  <si>
    <t>00716</t>
  </si>
  <si>
    <t>Tweed Shire</t>
  </si>
  <si>
    <t>Grass Tree Cct</t>
  </si>
  <si>
    <t>CABARITA BEACH</t>
  </si>
  <si>
    <t>Homewares</t>
  </si>
  <si>
    <t>Tinnie, designer clothing, dishwasher, designer handbags, bric a brac</t>
  </si>
  <si>
    <t>00715</t>
  </si>
  <si>
    <t>Ballina Shire</t>
  </si>
  <si>
    <t>Fig Tree Hill Dr</t>
  </si>
  <si>
    <t>LENNOX HEAD</t>
  </si>
  <si>
    <t>Furniture</t>
  </si>
  <si>
    <t>Sports bags and equipment</t>
  </si>
  <si>
    <t>00714</t>
  </si>
  <si>
    <t>Lismore City</t>
  </si>
  <si>
    <t>Scott Pl</t>
  </si>
  <si>
    <t>SOUTH LISMORE</t>
  </si>
  <si>
    <t>BEWITCHED HANDCRAFTED BOOKCASE</t>
  </si>
  <si>
    <t>Collectables</t>
  </si>
  <si>
    <t>LPs 45s BOOKS</t>
  </si>
  <si>
    <t>00713</t>
  </si>
  <si>
    <t>Sell
Free stuff</t>
  </si>
  <si>
    <t>Greenfield Rd</t>
  </si>
  <si>
    <t>Clothes, furniture</t>
  </si>
  <si>
    <t>Books</t>
  </si>
  <si>
    <t>00712</t>
  </si>
  <si>
    <t>2/12</t>
  </si>
  <si>
    <t>Kell Matter Dr</t>
  </si>
  <si>
    <t>Leggo</t>
  </si>
  <si>
    <t>Toys and Children's gear</t>
  </si>
  <si>
    <t>Sports Gear</t>
  </si>
  <si>
    <t>Clothes, surf boards, nerve guns, Lego, shoes, bags</t>
  </si>
  <si>
    <t>00711</t>
  </si>
  <si>
    <t>00710</t>
  </si>
  <si>
    <t>Dry Dock Rd</t>
  </si>
  <si>
    <t>TWEED HEADS</t>
  </si>
  <si>
    <t>M/Bike</t>
  </si>
  <si>
    <t>Tools</t>
  </si>
  <si>
    <t>Brick a brack, books, old trunk, electrical goods, m/bike gear.</t>
  </si>
  <si>
    <t>00709</t>
  </si>
  <si>
    <t>Pleasant</t>
  </si>
  <si>
    <t>GOONELLABAH</t>
  </si>
  <si>
    <t>00708</t>
  </si>
  <si>
    <t>Brumby Pl</t>
  </si>
  <si>
    <t>NORTH CASINO</t>
  </si>
  <si>
    <t>Pool table</t>
  </si>
  <si>
    <t>Baby Goods</t>
  </si>
  <si>
    <t>Ping pong table, Corolla, bikes, furniture, cement mixer, mower, trailer axle, brick a brac</t>
  </si>
  <si>
    <t>00707</t>
  </si>
  <si>
    <t>Clarence Valley</t>
  </si>
  <si>
    <t>2  x Saturday 23 and Saturday 30 September</t>
  </si>
  <si>
    <t>Wooli St</t>
  </si>
  <si>
    <t>YAMBA</t>
  </si>
  <si>
    <t>plants</t>
  </si>
  <si>
    <t>Plants</t>
  </si>
  <si>
    <t>00706</t>
  </si>
  <si>
    <t>Kerrani Pl</t>
  </si>
  <si>
    <t>COUTTS CROSSING</t>
  </si>
  <si>
    <t>toys</t>
  </si>
  <si>
    <t>Video Games and accessories</t>
  </si>
  <si>
    <t>kitchen stuff</t>
  </si>
  <si>
    <t>00705</t>
  </si>
  <si>
    <t>Byron Shire</t>
  </si>
  <si>
    <t>Centennial Cct</t>
  </si>
  <si>
    <t>BYRON BAY</t>
  </si>
  <si>
    <t>00704</t>
  </si>
  <si>
    <t>2/4</t>
  </si>
  <si>
    <t>Ti Tree Pl</t>
  </si>
  <si>
    <t>BYRON BAY INDUSTRIAL ESTATE</t>
  </si>
  <si>
    <t>SUPER CHEAP Vintage and hand-made festival clothing</t>
  </si>
  <si>
    <t>00703</t>
  </si>
  <si>
    <t>3/4</t>
  </si>
  <si>
    <t>Midway Ave</t>
  </si>
  <si>
    <t>WOLLONGBAR</t>
  </si>
  <si>
    <t>Painting</t>
  </si>
  <si>
    <t>CDs and Vinyl Records</t>
  </si>
  <si>
    <t>DVDs, designer shoes, paintings</t>
  </si>
  <si>
    <t>00702</t>
  </si>
  <si>
    <t>Wollongbar St</t>
  </si>
  <si>
    <t>Stylish Jackets</t>
  </si>
  <si>
    <t>Cloths, Shoes, Books, CDs , Movies, Camera, Wetsuits, Records</t>
  </si>
  <si>
    <t>00701</t>
  </si>
  <si>
    <t>Stafford St</t>
  </si>
  <si>
    <t>SOUTH MURWILLUMBAH</t>
  </si>
  <si>
    <t>Furniture bric a brac homewares</t>
  </si>
  <si>
    <t>00700</t>
  </si>
  <si>
    <t>Teraglin Pl   Off North Creek Rd</t>
  </si>
  <si>
    <t>BALLINA</t>
  </si>
  <si>
    <t>00699</t>
  </si>
  <si>
    <t>Edward</t>
  </si>
  <si>
    <t>MURWILLUMBAH</t>
  </si>
  <si>
    <t>Jigsaw puzzles</t>
  </si>
  <si>
    <t>dvds/cds</t>
  </si>
  <si>
    <t>00698</t>
  </si>
  <si>
    <t>12b</t>
  </si>
  <si>
    <t>BYRON ARTS AND INDUSTRY ESTATE</t>
  </si>
  <si>
    <t>french vintage film lamp</t>
  </si>
  <si>
    <t>Antiques</t>
  </si>
  <si>
    <t>Retro and collectables, plants, fashion and accessories</t>
  </si>
  <si>
    <t>00697</t>
  </si>
  <si>
    <t>Pinehurst Ct</t>
  </si>
  <si>
    <t>ALSTONVILLE</t>
  </si>
  <si>
    <t>Australian Red Cedar Wardrobe</t>
  </si>
  <si>
    <t>Large Macrame Wall Hanging</t>
  </si>
  <si>
    <t>00696</t>
  </si>
  <si>
    <t>00695</t>
  </si>
  <si>
    <t>Kyogle</t>
  </si>
  <si>
    <t>Stratheden St</t>
  </si>
  <si>
    <t>KYOGLE</t>
  </si>
  <si>
    <t>Timber furniture, gym equipment, tools , air compressor ,mag wheels , B-A-B, clothing, old doors,old French windows, ol,</t>
  </si>
  <si>
    <t>00694</t>
  </si>
  <si>
    <t>Clarice St</t>
  </si>
  <si>
    <t>EAST LISMORE</t>
  </si>
  <si>
    <t>Bikes (adults and kids), furniture, kids stuff (7 to 10 y.o.) kitchen gear and loads more!</t>
  </si>
  <si>
    <t>Bikes</t>
  </si>
  <si>
    <t>00693</t>
  </si>
  <si>
    <t>Sell
Free stuff
Fundraiser</t>
  </si>
  <si>
    <t>Dunoon Sports Club PA Appeal</t>
  </si>
  <si>
    <t>Cowley Rd</t>
  </si>
  <si>
    <t>DUNOON</t>
  </si>
  <si>
    <t>$100</t>
  </si>
  <si>
    <t>00692</t>
  </si>
  <si>
    <t>Bruce Dr</t>
  </si>
  <si>
    <t>GULMARRAD</t>
  </si>
  <si>
    <t>Complete Doll House Kit</t>
  </si>
  <si>
    <t>Kitchen Goods/Equipment</t>
  </si>
  <si>
    <t>Books,Puzzles and Clothing</t>
  </si>
  <si>
    <t>00691</t>
  </si>
  <si>
    <t>Yongurra Rd</t>
  </si>
  <si>
    <t>JIgsaws &amp; Games</t>
  </si>
  <si>
    <t>Durand Ceramic Water Cooler</t>
  </si>
  <si>
    <t>00690</t>
  </si>
  <si>
    <t>1A</t>
  </si>
  <si>
    <t>Miram Pl</t>
  </si>
  <si>
    <t>OCEAN SHORES</t>
  </si>
  <si>
    <t>Spell clothing</t>
  </si>
  <si>
    <t>Vintage clothing, furniture + homewares.</t>
  </si>
  <si>
    <t>00689</t>
  </si>
  <si>
    <t>2/23</t>
  </si>
  <si>
    <t>Albatross Cct</t>
  </si>
  <si>
    <t>TWEED HEADS WEST</t>
  </si>
  <si>
    <t>Whipper snippers; quality tools; household goods</t>
  </si>
  <si>
    <t>Garden items household items bed and asstd bedding books collectors items filing cabinets &amp; more</t>
  </si>
  <si>
    <t>00688</t>
  </si>
  <si>
    <t>Glen Ayr Dr</t>
  </si>
  <si>
    <t>BANORA POINT</t>
  </si>
  <si>
    <t>Wooden furniture</t>
  </si>
  <si>
    <t>Toys, Books, DVD's, Clothes, Outdoor Table, Homewares</t>
  </si>
  <si>
    <t>00687</t>
  </si>
  <si>
    <t>Henderson Dr</t>
  </si>
  <si>
    <t>DVD's</t>
  </si>
  <si>
    <t>00686</t>
  </si>
  <si>
    <t>Castle Field Dr</t>
  </si>
  <si>
    <t>Yard Glass Set</t>
  </si>
  <si>
    <t>00685</t>
  </si>
  <si>
    <t>50 B</t>
  </si>
  <si>
    <t>Rajah Rd</t>
  </si>
  <si>
    <t>Dining table and chair, 60's sideboard, vintage and designer clothes</t>
  </si>
  <si>
    <t>Kitchen items, coin counter, Godfather series</t>
  </si>
  <si>
    <t>00684</t>
  </si>
  <si>
    <t>Kennedy Dr</t>
  </si>
  <si>
    <t>New/Preloved clothing</t>
  </si>
  <si>
    <t>00683</t>
  </si>
  <si>
    <t>Kiyung Ct</t>
  </si>
  <si>
    <t>00682</t>
  </si>
  <si>
    <t>High St</t>
  </si>
  <si>
    <t>LISMORE HEIGHTS</t>
  </si>
  <si>
    <t>Nice furniture items / designer dresses</t>
  </si>
  <si>
    <t>toys &amp; books</t>
  </si>
  <si>
    <t>00681</t>
  </si>
  <si>
    <t>Teven</t>
  </si>
  <si>
    <t>BRUNSWICK HEADS</t>
  </si>
  <si>
    <t>00680</t>
  </si>
  <si>
    <t>New City Rd</t>
  </si>
  <si>
    <t>MULLUMBIMBY</t>
  </si>
  <si>
    <t>bikes</t>
  </si>
  <si>
    <t>clothes toys</t>
  </si>
  <si>
    <t>00679</t>
  </si>
  <si>
    <t>5 + 7</t>
  </si>
  <si>
    <t>Matheson Way</t>
  </si>
  <si>
    <t>Baby furniture and Tupperware</t>
  </si>
  <si>
    <t>00678</t>
  </si>
  <si>
    <t>Ballanda Cres</t>
  </si>
  <si>
    <t>ILUKA</t>
  </si>
  <si>
    <t>00677</t>
  </si>
  <si>
    <t>Tara Downs</t>
  </si>
  <si>
    <t>Kids surf board</t>
  </si>
  <si>
    <t>00676</t>
  </si>
  <si>
    <t>Silkwood Rd</t>
  </si>
  <si>
    <t>Antique Baby Doll Pram</t>
  </si>
  <si>
    <t>antiques</t>
  </si>
  <si>
    <t>00675</t>
  </si>
  <si>
    <t>The Grove</t>
  </si>
  <si>
    <t>NUNDERI</t>
  </si>
  <si>
    <t>Canoe</t>
  </si>
  <si>
    <t>Cot pram toys household items</t>
  </si>
  <si>
    <t>00674</t>
  </si>
  <si>
    <t>Stapleton Ave</t>
  </si>
  <si>
    <t>CASINO</t>
  </si>
  <si>
    <t>Camping, Fishing, Clothes, Shoes, Handbags, Fridge, Out Door Heater &amp; much more</t>
  </si>
  <si>
    <t>00673</t>
  </si>
  <si>
    <t>2/34</t>
  </si>
  <si>
    <t>Killarney Cres</t>
  </si>
  <si>
    <t>SKENNARS HEAD</t>
  </si>
  <si>
    <t>Appliances</t>
  </si>
  <si>
    <t>00672</t>
  </si>
  <si>
    <t>1/9</t>
  </si>
  <si>
    <t>Covent Gardens Way</t>
  </si>
  <si>
    <t>floor rug</t>
  </si>
  <si>
    <t>00671</t>
  </si>
  <si>
    <t>Lakeview Terrace</t>
  </si>
  <si>
    <t>BILAMBIL HEIGHTS</t>
  </si>
  <si>
    <t>Interior decoration</t>
  </si>
  <si>
    <t>00670</t>
  </si>
  <si>
    <t>Houghlahans Creek Rd</t>
  </si>
  <si>
    <t>PEARCES CREEK</t>
  </si>
  <si>
    <t>Antiques and furniture</t>
  </si>
  <si>
    <t>Building Materials</t>
  </si>
  <si>
    <t>Bric a brac</t>
  </si>
  <si>
    <t>00669</t>
  </si>
  <si>
    <t>Hotham St</t>
  </si>
  <si>
    <t>Antique Furniture</t>
  </si>
  <si>
    <t>Electrical, bric-a-brac, linen</t>
  </si>
  <si>
    <t>00668</t>
  </si>
  <si>
    <t>Spring St</t>
  </si>
  <si>
    <t>LISMORE</t>
  </si>
  <si>
    <t>clothes, shoes, jewellery, bags, homeware, toys, mainly girls stuff</t>
  </si>
  <si>
    <t>00667</t>
  </si>
  <si>
    <t>Wollumbin St</t>
  </si>
  <si>
    <t>TYALGUM</t>
  </si>
  <si>
    <t>Furniture, clothes, shoes, kitchen item, heaps of DVDs old video game consoles board games bric a brac</t>
  </si>
  <si>
    <t>DVDs</t>
  </si>
  <si>
    <t>Old video game consoles. PlayStation 1 and 2 and games</t>
  </si>
  <si>
    <t>00666</t>
  </si>
  <si>
    <t>North St</t>
  </si>
  <si>
    <t>Baby stuff, clothes, toys, bric a brac, ornaments and lots more!</t>
  </si>
  <si>
    <t>00665</t>
  </si>
  <si>
    <t>00664</t>
  </si>
  <si>
    <t>Pearce Ave</t>
  </si>
  <si>
    <t>David Lane original painting</t>
  </si>
  <si>
    <t>00663</t>
  </si>
  <si>
    <t>Elouera Terrace</t>
  </si>
  <si>
    <t>BRAY PARK</t>
  </si>
  <si>
    <t>Trash &amp; Treasure</t>
  </si>
  <si>
    <t>00662</t>
  </si>
  <si>
    <t>Pioneer Pde</t>
  </si>
  <si>
    <t>Tools, books, clothing, kitchenware, miscellaneous</t>
  </si>
  <si>
    <t>00661</t>
  </si>
  <si>
    <t>My books - but that is because they are valuable to me</t>
  </si>
  <si>
    <t>Computer games, Wii + games, some furniture, books, lamps, games, toys, shoes</t>
  </si>
  <si>
    <t>00660</t>
  </si>
  <si>
    <t>1/6</t>
  </si>
  <si>
    <t>Tupia Ave</t>
  </si>
  <si>
    <t>paintings , Professional framed knitted embroidery of scenes</t>
  </si>
  <si>
    <t>00659</t>
  </si>
  <si>
    <t>Groom</t>
  </si>
  <si>
    <t>Assorted clothing, tools, campgear</t>
  </si>
  <si>
    <t>00658</t>
  </si>
  <si>
    <t>Yengarie Way</t>
  </si>
  <si>
    <t>00657</t>
  </si>
  <si>
    <t>Highfield Terrace</t>
  </si>
  <si>
    <t>stunt bicycle</t>
  </si>
  <si>
    <t>rocknroll office chair.</t>
  </si>
  <si>
    <t>00656</t>
  </si>
  <si>
    <t>Azalea St</t>
  </si>
  <si>
    <t>Baby items, kids toys, household items</t>
  </si>
  <si>
    <t>00655</t>
  </si>
  <si>
    <t>Opal Pl</t>
  </si>
  <si>
    <t>Vintage cabinet</t>
  </si>
  <si>
    <t>Clothes toys appliances portacot high chair mirror</t>
  </si>
  <si>
    <t>00654</t>
  </si>
  <si>
    <t>Dolphin Dr</t>
  </si>
  <si>
    <t>WEST BALLINA</t>
  </si>
  <si>
    <t>Awesome stuff</t>
  </si>
  <si>
    <t>00653</t>
  </si>
  <si>
    <t>Dinsey St</t>
  </si>
  <si>
    <t>KINGSCLIFF</t>
  </si>
  <si>
    <t>00652</t>
  </si>
  <si>
    <t>Melliscrt</t>
  </si>
  <si>
    <t>ASTONVILLE</t>
  </si>
  <si>
    <t>furniture,bricbrack,books,toys,dvds,cubords and lots more</t>
  </si>
  <si>
    <t>nothing</t>
  </si>
  <si>
    <t>00651</t>
  </si>
  <si>
    <t>BRAND new clothing from great labels</t>
  </si>
  <si>
    <t>BRAND new clothing and also second hand clothing, jewellery and accessories. Crockery and other goods.</t>
  </si>
  <si>
    <t>00650</t>
  </si>
  <si>
    <t>1/13</t>
  </si>
  <si>
    <t>Ceramics</t>
  </si>
  <si>
    <t>00649</t>
  </si>
  <si>
    <t>23-49</t>
  </si>
  <si>
    <t>Ocean Dr</t>
  </si>
  <si>
    <t>CHINDERAH</t>
  </si>
  <si>
    <t>Kids new toys and wetsuits</t>
  </si>
  <si>
    <t>Kids wetsuits books puzzles</t>
  </si>
  <si>
    <t>00648</t>
  </si>
  <si>
    <t>Kahala Pl</t>
  </si>
  <si>
    <t>RICHMONDHILL</t>
  </si>
  <si>
    <t>christmas decorations, tools,antiques</t>
  </si>
  <si>
    <t>miscellaneous items</t>
  </si>
  <si>
    <t>00647</t>
  </si>
  <si>
    <t>Fern St</t>
  </si>
  <si>
    <t>Antique vases</t>
  </si>
  <si>
    <t>00646</t>
  </si>
  <si>
    <t>Fox St</t>
  </si>
  <si>
    <t>Used furniture</t>
  </si>
  <si>
    <t>00645</t>
  </si>
  <si>
    <t>Lotus Outreach</t>
  </si>
  <si>
    <t>1/19</t>
  </si>
  <si>
    <t>Waterview Ct</t>
  </si>
  <si>
    <t>Girl's bike, Hardware fittings, clothes.</t>
  </si>
  <si>
    <t>00644</t>
  </si>
  <si>
    <t>Rosewood</t>
  </si>
  <si>
    <t>concourse mercedes benz 450 SE sedan winner 2 times</t>
  </si>
  <si>
    <t>variable and mixed but high quality</t>
  </si>
  <si>
    <t>00643</t>
  </si>
  <si>
    <t>Sell
Swap
Free stuff</t>
  </si>
  <si>
    <t>Murwilumbah St</t>
  </si>
  <si>
    <t>furniture</t>
  </si>
  <si>
    <t>building materials</t>
  </si>
  <si>
    <t>00642</t>
  </si>
  <si>
    <t>Smith St</t>
  </si>
  <si>
    <t>CLUNES</t>
  </si>
  <si>
    <t>Exercise equipment</t>
  </si>
  <si>
    <t>00641</t>
  </si>
  <si>
    <t>Norton St</t>
  </si>
  <si>
    <t>Glass ware, retro items</t>
  </si>
  <si>
    <t>Quality fabric remnants</t>
  </si>
  <si>
    <t>00640</t>
  </si>
  <si>
    <t>Dobie St</t>
  </si>
  <si>
    <t>GRAFTON</t>
  </si>
  <si>
    <t>Need gone HUGE moving sale. 7am - 12 noon</t>
  </si>
  <si>
    <t>Kids clothing, desks, bric a brac, 3 door fridge and so much more.</t>
  </si>
  <si>
    <t>00639</t>
  </si>
  <si>
    <t>Oliver St</t>
  </si>
  <si>
    <t>White goods, clothes, tools, books and more</t>
  </si>
  <si>
    <t>00638</t>
  </si>
  <si>
    <t>Marine St</t>
  </si>
  <si>
    <t>Original and printed wall art</t>
  </si>
  <si>
    <t>Large rug, kitchen ware, bric a brack, womes sizes 12-14, wetsuits, fishing gear and more</t>
  </si>
  <si>
    <t>00637</t>
  </si>
  <si>
    <t>Clay Ave</t>
  </si>
  <si>
    <t>Fridge, freezer</t>
  </si>
  <si>
    <t>00636</t>
  </si>
  <si>
    <t>Blindmouth Rd</t>
  </si>
  <si>
    <t>MAIN ARM</t>
  </si>
  <si>
    <t>stunning antique carved furniture and collectable art</t>
  </si>
  <si>
    <t>hand made and bespoke furniture, tea pot and Kettle collections</t>
  </si>
  <si>
    <t>00635</t>
  </si>
  <si>
    <t>Wisteria St</t>
  </si>
  <si>
    <t>Single Beds</t>
  </si>
  <si>
    <t>Gymnastics Bar</t>
  </si>
  <si>
    <t>00634</t>
  </si>
  <si>
    <t>Jigsaws &amp; Games</t>
  </si>
  <si>
    <t>00633</t>
  </si>
  <si>
    <t>Lennox</t>
  </si>
  <si>
    <t>Antique Pine Kitchen Dresser &amp; Pine Kitchen cupboard with Metal inserts</t>
  </si>
  <si>
    <t>Colonial 3 Seater Lounge,Desk/Hutch,Games,Tools,Security Screen Doors, Timber, Household items,Starwars</t>
  </si>
  <si>
    <t>00632</t>
  </si>
  <si>
    <t>Park Ave</t>
  </si>
  <si>
    <t>Bric a brac, DVDs, shelving</t>
  </si>
  <si>
    <t>00631</t>
  </si>
  <si>
    <t>Beach St</t>
  </si>
  <si>
    <t>Great Condition Portacot</t>
  </si>
  <si>
    <t>Childrens clothes and electrical goods</t>
  </si>
  <si>
    <t>00630</t>
  </si>
  <si>
    <t>Mckenzie</t>
  </si>
  <si>
    <t>4/15</t>
  </si>
  <si>
    <t>Kingston Dr</t>
  </si>
  <si>
    <t>Women's size 8 clothes mostly new</t>
  </si>
  <si>
    <t>bric a brac</t>
  </si>
  <si>
    <t>00629</t>
  </si>
  <si>
    <t>Balemo Dr</t>
  </si>
  <si>
    <t>queen size bed ensemble,</t>
  </si>
  <si>
    <t>Freezer, clothing, TV and set box top</t>
  </si>
  <si>
    <t>00628</t>
  </si>
  <si>
    <t>Yale St</t>
  </si>
  <si>
    <t>Vintage clothing</t>
  </si>
  <si>
    <t>Compact ironing board, new clothes, boys shirts, plants</t>
  </si>
  <si>
    <t>00627</t>
  </si>
  <si>
    <t>Pulkara Ct</t>
  </si>
  <si>
    <t>Hundreds &amp; hundreds of books</t>
  </si>
  <si>
    <t>00626</t>
  </si>
  <si>
    <t>Skyline Rd South</t>
  </si>
  <si>
    <t>WYRALLAH</t>
  </si>
  <si>
    <t>00625</t>
  </si>
  <si>
    <t>Skinner St</t>
  </si>
  <si>
    <t>Dishwasher</t>
  </si>
  <si>
    <t>Gardening equipment, building materials, golf club sets</t>
  </si>
  <si>
    <t>00624</t>
  </si>
  <si>
    <t>Montwood Dr</t>
  </si>
  <si>
    <t>Hand Knitted Wall Hangings</t>
  </si>
  <si>
    <t>00623</t>
  </si>
  <si>
    <t>Fitzroy St</t>
  </si>
  <si>
    <t>00622</t>
  </si>
  <si>
    <t>Darlington Dr</t>
  </si>
  <si>
    <t>Furniture-lots of fish tanks- birds- ornaments-speakers-</t>
  </si>
  <si>
    <t>Birds-fishtanks</t>
  </si>
  <si>
    <t>00621</t>
  </si>
  <si>
    <t>Cylinders Dr</t>
  </si>
  <si>
    <t>Dresses canvas art</t>
  </si>
  <si>
    <t>2 almost new air conditioners. A dehumidifier canvas art</t>
  </si>
  <si>
    <t>00620</t>
  </si>
  <si>
    <t>Lochlomond Dr</t>
  </si>
  <si>
    <t>Punch Boxing Bag and Stand with Speed Ball</t>
  </si>
  <si>
    <t>00619</t>
  </si>
  <si>
    <t>Riverview Ave</t>
  </si>
  <si>
    <t>00618</t>
  </si>
  <si>
    <t>Tweed St</t>
  </si>
  <si>
    <t>Household items</t>
  </si>
  <si>
    <t>Children's items</t>
  </si>
  <si>
    <t>00617</t>
  </si>
  <si>
    <t>Myrtle St</t>
  </si>
  <si>
    <t>Loads of great items</t>
  </si>
  <si>
    <t>00616</t>
  </si>
  <si>
    <t>Kyogle Rd</t>
  </si>
  <si>
    <t>Ride on mower</t>
  </si>
  <si>
    <t>Garden &amp; outdoor items, tables, double sink, clothes &amp; shoes, household items, misc, freebies.</t>
  </si>
  <si>
    <t>00615</t>
  </si>
  <si>
    <t>Middle Pocket Rd</t>
  </si>
  <si>
    <t>BILLINUDGEL</t>
  </si>
  <si>
    <t>Stainless steel table, new plastic plant pots 180mm and smaller, gym set, antique harrows, etc.</t>
  </si>
  <si>
    <t>Homewares, mowers, brush cutters, star pickets and banger, compostib toilet, fence wire strainer, greenfield ride on mow</t>
  </si>
  <si>
    <t>00614</t>
  </si>
  <si>
    <t>Leycester</t>
  </si>
  <si>
    <t>AV equipment</t>
  </si>
  <si>
    <t>Electronics</t>
  </si>
  <si>
    <t>PA System  , Data projectors</t>
  </si>
  <si>
    <t>00613</t>
  </si>
  <si>
    <t>44A</t>
  </si>
  <si>
    <t>Massive de-cluttering</t>
  </si>
  <si>
    <t>Garden equipment, homewares, laser printer</t>
  </si>
  <si>
    <t>00612</t>
  </si>
  <si>
    <t>Little Keen St</t>
  </si>
  <si>
    <t>vintage retro items</t>
  </si>
  <si>
    <t>some toys</t>
  </si>
  <si>
    <t>00611</t>
  </si>
  <si>
    <t>Hottentot Cres</t>
  </si>
  <si>
    <t>ceramic kiln</t>
  </si>
  <si>
    <t>vintage records, bottles, antique bassinet, used and vintage clothes</t>
  </si>
  <si>
    <t>00610</t>
  </si>
  <si>
    <t>4/80</t>
  </si>
  <si>
    <t>Men &amp; women designer &amp; vintage clothes, surfboards, skateboards, Apple computers, motorbike jackets/helmet, shoes, bags</t>
  </si>
  <si>
    <t>00609</t>
  </si>
  <si>
    <t>Cedar Cres</t>
  </si>
  <si>
    <t>EAST BALLINA</t>
  </si>
  <si>
    <t>70's 3 piece Lounge</t>
  </si>
  <si>
    <t>Vintage Clothing, Kids Drum Kit, Vintage Wares</t>
  </si>
  <si>
    <t>00608</t>
  </si>
  <si>
    <t>Amaroo Dr</t>
  </si>
  <si>
    <t>single bed</t>
  </si>
  <si>
    <t>Clothes dryer; small freezer</t>
  </si>
  <si>
    <t>00607</t>
  </si>
  <si>
    <t>28/1</t>
  </si>
  <si>
    <t>Yarra  Close</t>
  </si>
  <si>
    <t>Garden pots &amp; ornaments</t>
  </si>
  <si>
    <t>00606</t>
  </si>
  <si>
    <t>Relocation sale - Everything you can imagine</t>
  </si>
  <si>
    <t>00605</t>
  </si>
  <si>
    <t>Sell
Swap</t>
  </si>
  <si>
    <t>Mcgettigans Lane</t>
  </si>
  <si>
    <t>EWINGSDALE</t>
  </si>
  <si>
    <t>a blue chair</t>
  </si>
  <si>
    <t>Kids Clothes, Womens Clothes, Men's Clothes, Kids Books, Novels, Toys</t>
  </si>
  <si>
    <t>00604</t>
  </si>
  <si>
    <t>Molesworth St</t>
  </si>
  <si>
    <t>Clothing, Bric a Brac, Building Materials, Kitchen Wares</t>
  </si>
  <si>
    <t>00603</t>
  </si>
  <si>
    <t>Oakland Pde</t>
  </si>
  <si>
    <t>Cold Press Juicer</t>
  </si>
  <si>
    <t>00602</t>
  </si>
  <si>
    <t>Beaumont Dr</t>
  </si>
  <si>
    <t>Caravan</t>
  </si>
  <si>
    <t>Motor Vehicle</t>
  </si>
  <si>
    <t>Viscount Vogue, air conditioned, full Aussie travelled annex. 18 foot 6</t>
  </si>
  <si>
    <t>00601</t>
  </si>
  <si>
    <t>Waverley Pl</t>
  </si>
  <si>
    <t>dingy fiberglass</t>
  </si>
  <si>
    <t>00600</t>
  </si>
  <si>
    <t>Timber furniture, tools, doors, windows, ect</t>
  </si>
  <si>
    <t>Fitness equipment, tyres , mag wheels , camping equipment, clothing, stereo system,TV wall brackets, Air compressor ,</t>
  </si>
  <si>
    <t>00599</t>
  </si>
  <si>
    <t>Pacific St</t>
  </si>
  <si>
    <t>ANGOURIE</t>
  </si>
  <si>
    <t>Vintage items</t>
  </si>
  <si>
    <t>Lots of fabric for all the sewers out there</t>
  </si>
  <si>
    <t>00598</t>
  </si>
  <si>
    <t>Julieanne Pl</t>
  </si>
  <si>
    <t>BEXHILL</t>
  </si>
  <si>
    <t>Large television unit</t>
  </si>
  <si>
    <t>Beer making kit up and distiller</t>
  </si>
  <si>
    <t>00597</t>
  </si>
  <si>
    <t>Lindsay Cresent</t>
  </si>
  <si>
    <t>WARDELL</t>
  </si>
  <si>
    <t>Vintage Singer Sewing Machine</t>
  </si>
  <si>
    <t>Roofing Iron</t>
  </si>
  <si>
    <t>00596</t>
  </si>
  <si>
    <t>Back Lane</t>
  </si>
  <si>
    <t>JUNCTION HILL</t>
  </si>
  <si>
    <t>household items, refashioned clothes &amp; craft, linen</t>
  </si>
  <si>
    <t>00595</t>
  </si>
  <si>
    <t>Prowse St</t>
  </si>
  <si>
    <t>TWEED HEADS SOUTH</t>
  </si>
  <si>
    <t>2009 FORD FG FALCON</t>
  </si>
  <si>
    <t>Musical Instruments</t>
  </si>
  <si>
    <t>antique statues( armini)wedgewood , queen anne dinner setting,board games, clothes, bric-a-brac</t>
  </si>
  <si>
    <t>00594</t>
  </si>
  <si>
    <t>Camden St</t>
  </si>
  <si>
    <t>Art materials and artist cards</t>
  </si>
  <si>
    <t>00593</t>
  </si>
  <si>
    <t>Curtawilla St</t>
  </si>
  <si>
    <t>motorcycle parts, tools and food processor</t>
  </si>
  <si>
    <t>various as new dvd's, blue ray's and vintage clothes</t>
  </si>
  <si>
    <t>00592</t>
  </si>
  <si>
    <t>Melaleuca Dr</t>
  </si>
  <si>
    <t>00591</t>
  </si>
  <si>
    <t>East</t>
  </si>
  <si>
    <t>Left Bank Rd</t>
  </si>
  <si>
    <t>collectable china, baby items, furniture</t>
  </si>
  <si>
    <t>00590</t>
  </si>
  <si>
    <t>Wyrallah Rd</t>
  </si>
  <si>
    <t>Lego sets</t>
  </si>
  <si>
    <t>Random other stuff for real cheap!</t>
  </si>
  <si>
    <t>00589</t>
  </si>
  <si>
    <t>Catherine</t>
  </si>
  <si>
    <t>tools &amp; equipment</t>
  </si>
  <si>
    <t>Victa mower,vacuum,car polisher,books, wooden toys (new)</t>
  </si>
  <si>
    <t>00588</t>
  </si>
  <si>
    <t>Shelly Beach Rd</t>
  </si>
  <si>
    <t>Electric recliner chairs</t>
  </si>
  <si>
    <t>00587</t>
  </si>
  <si>
    <t>Dunromin Dr</t>
  </si>
  <si>
    <t>MODANVILLE</t>
  </si>
  <si>
    <t>Silky oak dining table</t>
  </si>
  <si>
    <t>New Fishing lures, jewellery, succulent fairy gardens, books, collector teddy bears and lots more!</t>
  </si>
  <si>
    <t>00586</t>
  </si>
  <si>
    <t>Viking St</t>
  </si>
  <si>
    <t>Moving sale... Antique cupboards &amp; dressing table, Lounges, TV cabinets, TVs, coffee table, single/queen beds....</t>
  </si>
  <si>
    <t>Children's toys, bikes, electric drum kit, tools, surf boards, wooden stools, gym equip, DVDs...</t>
  </si>
  <si>
    <t>00585</t>
  </si>
  <si>
    <t>Richmond Hill Rd</t>
  </si>
  <si>
    <t>RICHMOND HILL</t>
  </si>
  <si>
    <t>Dinghy</t>
  </si>
  <si>
    <t>Camping gear</t>
  </si>
  <si>
    <t>00584</t>
  </si>
  <si>
    <t>Showview St</t>
  </si>
  <si>
    <t>GIRARDS HILL</t>
  </si>
  <si>
    <t>Baby's treasure: BIG Bobby Car,  Dad's treasure: 2004 Subaru Forester, Mum's treasure: TREK bicycle</t>
  </si>
  <si>
    <t>Everything will be sold as we are moving overseas - nothing older than 2.5 years</t>
  </si>
  <si>
    <t>00583</t>
  </si>
  <si>
    <t>11/1</t>
  </si>
  <si>
    <t>Lee St</t>
  </si>
  <si>
    <t>roller door</t>
  </si>
  <si>
    <t>lawn mower</t>
  </si>
  <si>
    <t>00582</t>
  </si>
  <si>
    <t>Grevillea Ave</t>
  </si>
  <si>
    <t>children's toy models</t>
  </si>
  <si>
    <t>00581</t>
  </si>
  <si>
    <t>12 man tent, portable air conditioner, diving gear</t>
  </si>
  <si>
    <t>Craft magazines, timber blind, study desk, heater</t>
  </si>
  <si>
    <t>00580</t>
  </si>
  <si>
    <t>1-9</t>
  </si>
  <si>
    <t>Ewing St</t>
  </si>
  <si>
    <t>Cotton lycra fabric, textiles, red stretch lace by the metre, vases, books,</t>
  </si>
  <si>
    <t>00579</t>
  </si>
  <si>
    <t>Tweed St Cnr Galleon Lane</t>
  </si>
  <si>
    <t>DVD collection</t>
  </si>
  <si>
    <t>Handbags, material, craft items, jewellery, books</t>
  </si>
  <si>
    <t>00578</t>
  </si>
  <si>
    <t>Old Ferry Rd</t>
  </si>
  <si>
    <t>horse saddle</t>
  </si>
  <si>
    <t>00577</t>
  </si>
  <si>
    <t>Reserve Creek Rd</t>
  </si>
  <si>
    <t>KIELVALE</t>
  </si>
  <si>
    <t>Baby furniture</t>
  </si>
  <si>
    <t>DVDs,kitchen goods,Christmas lights.</t>
  </si>
  <si>
    <t>00576</t>
  </si>
  <si>
    <t>Schaeffer Close</t>
  </si>
  <si>
    <t>camping equipment</t>
  </si>
  <si>
    <t>books dvds cassettes</t>
  </si>
  <si>
    <t>00575</t>
  </si>
  <si>
    <t>An increible array of vintage and retro items and shabby chic.</t>
  </si>
  <si>
    <t>00574</t>
  </si>
  <si>
    <t>Course</t>
  </si>
  <si>
    <t>Hutch</t>
  </si>
  <si>
    <t>Beds</t>
  </si>
  <si>
    <t>00573</t>
  </si>
  <si>
    <t>Gregors Rd</t>
  </si>
  <si>
    <t>SPRING GROVE</t>
  </si>
  <si>
    <t>Costume Jewellery</t>
  </si>
  <si>
    <t>christmas dinner sets,  buttons, tapestry and wool</t>
  </si>
  <si>
    <t>00572</t>
  </si>
  <si>
    <t>Lambent Ave</t>
  </si>
  <si>
    <t>CASUARINA</t>
  </si>
  <si>
    <t>Designer clothes</t>
  </si>
  <si>
    <t>00571</t>
  </si>
  <si>
    <t>Furniture including Single bed and mattress</t>
  </si>
  <si>
    <t>kopper logs, white bbq bricks, towel stand</t>
  </si>
  <si>
    <t>00570</t>
  </si>
  <si>
    <t>Clavan St</t>
  </si>
  <si>
    <t>Cable home gym</t>
  </si>
  <si>
    <t>Toys, baby play gym...</t>
  </si>
  <si>
    <t>00569</t>
  </si>
  <si>
    <t>Inlet Dr</t>
  </si>
  <si>
    <t>vintage furnishings</t>
  </si>
  <si>
    <t>toys, plants, and more</t>
  </si>
  <si>
    <t>00568</t>
  </si>
  <si>
    <t>Jersey Dr</t>
  </si>
  <si>
    <t>1940's kitchen dresser</t>
  </si>
  <si>
    <t>Outdoor table &amp; chairs</t>
  </si>
  <si>
    <t>00567</t>
  </si>
  <si>
    <t>Barby Cres</t>
  </si>
  <si>
    <t>BANGALOW</t>
  </si>
  <si>
    <t>unused professional fishermans net</t>
  </si>
  <si>
    <t>00566</t>
  </si>
  <si>
    <t>1/12</t>
  </si>
  <si>
    <t>Rosedale Square</t>
  </si>
  <si>
    <t>Dolphin Coffee Table</t>
  </si>
  <si>
    <t>Elliptical Cross Trainer, Electrical Appliances, DVD's</t>
  </si>
  <si>
    <t>00565</t>
  </si>
  <si>
    <t>Bacon St</t>
  </si>
  <si>
    <t>Large antique mirror</t>
  </si>
  <si>
    <t>Books, bric-a-brac</t>
  </si>
  <si>
    <t>00564</t>
  </si>
  <si>
    <t>1/59</t>
  </si>
  <si>
    <t>fridges</t>
  </si>
  <si>
    <t>various smaller number of house hold items.</t>
  </si>
  <si>
    <t>00563</t>
  </si>
  <si>
    <t>Terranora Rd</t>
  </si>
  <si>
    <t>Baby girl clothes, books,</t>
  </si>
  <si>
    <t>00562</t>
  </si>
  <si>
    <t>Ann St</t>
  </si>
  <si>
    <t>plants, bric a brac</t>
  </si>
  <si>
    <t>00561</t>
  </si>
  <si>
    <t>Lot 240</t>
  </si>
  <si>
    <t>Bogangar Rd</t>
  </si>
  <si>
    <t>CUDGEN NSW</t>
  </si>
  <si>
    <t>Antique crockery collectables</t>
  </si>
  <si>
    <t>Baby items</t>
  </si>
  <si>
    <t>00560</t>
  </si>
  <si>
    <t>Dibbs St</t>
  </si>
  <si>
    <t>computer</t>
  </si>
  <si>
    <t>Computers</t>
  </si>
  <si>
    <t>garden and patio plants.</t>
  </si>
  <si>
    <t>00559</t>
  </si>
  <si>
    <t>Vintage 79 Jayco Poptop Caravan</t>
  </si>
  <si>
    <t>Books, DVDs, Furniture, Kitchen gear, Appliances, Video Games, Garden equipment</t>
  </si>
  <si>
    <t>00558</t>
  </si>
  <si>
    <t>1/ 23</t>
  </si>
  <si>
    <t>Barrett Dr</t>
  </si>
  <si>
    <t>Surf boards and Quiksilver men 's clothing</t>
  </si>
  <si>
    <t>00557</t>
  </si>
  <si>
    <t>Guilfoyle Pl</t>
  </si>
  <si>
    <t>CUDGEN</t>
  </si>
  <si>
    <t>00556</t>
  </si>
  <si>
    <t>Cooke Ave</t>
  </si>
  <si>
    <t>CDs and DVDs</t>
  </si>
  <si>
    <t>00555</t>
  </si>
  <si>
    <t>Sell
Fundraiser</t>
  </si>
  <si>
    <t>Salvos 1/2 Price Sale</t>
  </si>
  <si>
    <t>Greenway Dr</t>
  </si>
  <si>
    <t>STH TWEED</t>
  </si>
  <si>
    <t>All Donated Items.. From clothing to furniture!!</t>
  </si>
  <si>
    <t>Bric-n-Brac &amp; Collectables</t>
  </si>
  <si>
    <t>00554</t>
  </si>
  <si>
    <t>Bullbar, Saddles</t>
  </si>
  <si>
    <t>00553</t>
  </si>
  <si>
    <t>Woodburn St</t>
  </si>
  <si>
    <t>bromeliads, books, toys,tools, bric a brac</t>
  </si>
  <si>
    <t>00552</t>
  </si>
  <si>
    <t>Leather Couch</t>
  </si>
  <si>
    <t>Plants, books, baby cot and changetable, computer desk and chair.</t>
  </si>
  <si>
    <t>00551</t>
  </si>
  <si>
    <t>Hoof St</t>
  </si>
  <si>
    <t>00550</t>
  </si>
  <si>
    <t>Mcleod St</t>
  </si>
  <si>
    <t>CONDONG</t>
  </si>
  <si>
    <t>Quited items, fabrics, furniture, books...etc</t>
  </si>
  <si>
    <t>00549</t>
  </si>
  <si>
    <t>Avondale Ave</t>
  </si>
  <si>
    <t>Tasman Twin Ocean going Kayak</t>
  </si>
  <si>
    <t>bric a brac, small collectables, homewares.</t>
  </si>
  <si>
    <t>00548</t>
  </si>
  <si>
    <t>Sugarglider Dr</t>
  </si>
  <si>
    <t>POTTSVILLE</t>
  </si>
  <si>
    <t>Balinese furniture</t>
  </si>
  <si>
    <t>00547</t>
  </si>
  <si>
    <t>8/5-9</t>
  </si>
  <si>
    <t>Kamala Cres</t>
  </si>
  <si>
    <t>00546</t>
  </si>
  <si>
    <t>Crown</t>
  </si>
  <si>
    <t>Clothes</t>
  </si>
  <si>
    <t>00545</t>
  </si>
  <si>
    <t>Jagera Close</t>
  </si>
  <si>
    <t>00544</t>
  </si>
  <si>
    <t>Stanley</t>
  </si>
  <si>
    <t>1940s Red Vinyl Rocker</t>
  </si>
  <si>
    <t>Retro 60s 70s</t>
  </si>
  <si>
    <t>00543</t>
  </si>
  <si>
    <t>Bosun Blvd</t>
  </si>
  <si>
    <t>genuine Lladro pieces</t>
  </si>
  <si>
    <t>Bed Linen</t>
  </si>
  <si>
    <t>00542</t>
  </si>
  <si>
    <t>Mellis Cct</t>
  </si>
  <si>
    <t>Tyre rims</t>
  </si>
  <si>
    <t>Big bird cage, as-new golf buggies</t>
  </si>
  <si>
    <t>00541</t>
  </si>
  <si>
    <t>49A</t>
  </si>
  <si>
    <t>Rajah Roah</t>
  </si>
  <si>
    <t>00540</t>
  </si>
  <si>
    <t>Keith St</t>
  </si>
  <si>
    <t>Double bed base &amp; mattress (mattress as new)</t>
  </si>
  <si>
    <t>Art-deco wardrobe, Daewoo flat screen TV, sci-fi novels, small sash window</t>
  </si>
  <si>
    <t>00539</t>
  </si>
  <si>
    <t>Bulgoon</t>
  </si>
  <si>
    <t>00538</t>
  </si>
  <si>
    <t>1/16</t>
  </si>
  <si>
    <t>Allambie Dr</t>
  </si>
  <si>
    <t>Bric-a-brac</t>
  </si>
  <si>
    <t>00537</t>
  </si>
  <si>
    <t>WEST TWEED HEADS</t>
  </si>
  <si>
    <t>Clothing ,bric'nbrac ,kids toys</t>
  </si>
  <si>
    <t>00536</t>
  </si>
  <si>
    <t>8-10</t>
  </si>
  <si>
    <t>Pine Ave</t>
  </si>
  <si>
    <t>Dressing Table</t>
  </si>
  <si>
    <t>Pot Plants</t>
  </si>
  <si>
    <t>00535</t>
  </si>
  <si>
    <t>1/1</t>
  </si>
  <si>
    <t>River St</t>
  </si>
  <si>
    <t>Dressing tables and wardrobes art deco chairs, moving house</t>
  </si>
  <si>
    <t>Silky oak table. rocking horse.clothes bric a brac</t>
  </si>
  <si>
    <t>00534</t>
  </si>
  <si>
    <t>00533</t>
  </si>
  <si>
    <t>Colin</t>
  </si>
  <si>
    <t>Jameson Ave</t>
  </si>
  <si>
    <t>Bedroom tallboy and bedside table</t>
  </si>
  <si>
    <t>DVD,s books , kids clothes , homewares, toys ,</t>
  </si>
  <si>
    <t>00532</t>
  </si>
  <si>
    <t>Kirkwood Rd West</t>
  </si>
  <si>
    <t>Clothes, toys, bit of everything</t>
  </si>
  <si>
    <t>00531</t>
  </si>
  <si>
    <t>Robindale Dr</t>
  </si>
  <si>
    <t>Plants and pots</t>
  </si>
  <si>
    <t>00530</t>
  </si>
  <si>
    <t>Roberts Dr</t>
  </si>
  <si>
    <t>SOUTH GRAFTON</t>
  </si>
  <si>
    <t>collectables</t>
  </si>
  <si>
    <t>00529</t>
  </si>
  <si>
    <t>Woodland Ave</t>
  </si>
  <si>
    <t>clothes, plants,lots of bits and pieces</t>
  </si>
  <si>
    <t>00528</t>
  </si>
  <si>
    <t>Jubilee Ave</t>
  </si>
  <si>
    <t>Antique China</t>
  </si>
  <si>
    <t>00527</t>
  </si>
  <si>
    <t>Breckenridge St</t>
  </si>
  <si>
    <t>Household items, bric-a-brack</t>
  </si>
  <si>
    <t>00526</t>
  </si>
  <si>
    <t>Laurel Ave</t>
  </si>
  <si>
    <t>Clothes, books</t>
  </si>
  <si>
    <t>00525</t>
  </si>
  <si>
    <t>Railway St</t>
  </si>
  <si>
    <t>Fishing gear, plants, baby stuff</t>
  </si>
  <si>
    <t>00524</t>
  </si>
  <si>
    <t>Wedding dress</t>
  </si>
  <si>
    <t>Plants, baby girls clothes 0-2y, men's shirts suits clothes XL, Women's clothes coats size 10-12, household items</t>
  </si>
  <si>
    <t>00523</t>
  </si>
  <si>
    <t>2/7</t>
  </si>
  <si>
    <t>Gollan Dr</t>
  </si>
  <si>
    <t>Jewellery and mirrored jewellery stand</t>
  </si>
  <si>
    <t>Building materials,garden pots, appliances, ornaments, books, room divider, Bric-a-brac</t>
  </si>
  <si>
    <t>00522</t>
  </si>
  <si>
    <t>Parkland Dr</t>
  </si>
  <si>
    <t>Motorcycle gear</t>
  </si>
  <si>
    <t>Camping fridge and gear, cds, DVD, vynal, antique radios various conditions, motorcycle gear. Other goods cheap.</t>
  </si>
  <si>
    <t>00521</t>
  </si>
  <si>
    <t>Dobie</t>
  </si>
  <si>
    <t>Home made kids toys</t>
  </si>
  <si>
    <t>xmas decorations, home made kids toys, kitchen items and much more.</t>
  </si>
  <si>
    <t>00520</t>
  </si>
  <si>
    <t>Bent St</t>
  </si>
  <si>
    <t>Zodiac Pool Cleaner, Adults/Kids Clothes, Household Items</t>
  </si>
  <si>
    <t>00519</t>
  </si>
  <si>
    <t>Wiangaree Back Rd</t>
  </si>
  <si>
    <t>GENEVA VIA KYOGLE</t>
  </si>
  <si>
    <t>peddle car utility</t>
  </si>
  <si>
    <t>axes, cross cut saws, camp ovens and other collectables.</t>
  </si>
  <si>
    <t>00518</t>
  </si>
  <si>
    <t>2/32</t>
  </si>
  <si>
    <t>Sailfish Way</t>
  </si>
  <si>
    <t>Outdoor chairs</t>
  </si>
  <si>
    <t>00517</t>
  </si>
  <si>
    <t>kitchen aid, post-hole digger, toaster oven, trampoline, car capsule</t>
  </si>
  <si>
    <t>bathroom vanity, heaters, car seats, kids clothes, fans, kitchen appliances, kitchen aid accessories, toilet</t>
  </si>
  <si>
    <t>00516</t>
  </si>
  <si>
    <t>1/54</t>
  </si>
  <si>
    <t>Rifle Range Rd</t>
  </si>
  <si>
    <t>Lounges</t>
  </si>
  <si>
    <t>00515</t>
  </si>
  <si>
    <t>Silver Ash Crt</t>
  </si>
  <si>
    <t>Famous print</t>
  </si>
  <si>
    <t>00514</t>
  </si>
  <si>
    <t>Valley View Dr</t>
  </si>
  <si>
    <t>Old wares</t>
  </si>
  <si>
    <t>Books, Plants, Ornaments, Car items,Fishponds, Ladies Cycle, heaps more.</t>
  </si>
  <si>
    <t>00513</t>
  </si>
  <si>
    <t>Light St</t>
  </si>
  <si>
    <t>00512</t>
  </si>
  <si>
    <t>Cambridge St</t>
  </si>
  <si>
    <t>household furniture</t>
  </si>
  <si>
    <t>household items</t>
  </si>
  <si>
    <t>00511</t>
  </si>
  <si>
    <t>Hakea Cres</t>
  </si>
  <si>
    <t>SUFFOLK PARK</t>
  </si>
  <si>
    <t>Books, shoes, free stuff</t>
  </si>
  <si>
    <t>00510</t>
  </si>
  <si>
    <t>Dudley Dr</t>
  </si>
  <si>
    <t>Camping geae</t>
  </si>
  <si>
    <t>00509</t>
  </si>
  <si>
    <t>Norlyn Ave</t>
  </si>
  <si>
    <t>football jerseys, tools</t>
  </si>
  <si>
    <t>00508</t>
  </si>
  <si>
    <t>Botanical Cct</t>
  </si>
  <si>
    <t>lovely home decorator items and garden tools</t>
  </si>
  <si>
    <t>00507</t>
  </si>
  <si>
    <t>Watergum Pl</t>
  </si>
  <si>
    <t>00506</t>
  </si>
  <si>
    <t>Rubiton St</t>
  </si>
  <si>
    <t>electrical items</t>
  </si>
  <si>
    <t>kitchenware, dvds, toys</t>
  </si>
  <si>
    <t>00505</t>
  </si>
  <si>
    <t>Pool table and all equitment</t>
  </si>
  <si>
    <t>Garden pots books furniture for upcycling</t>
  </si>
  <si>
    <t>00504</t>
  </si>
  <si>
    <t>00503</t>
  </si>
  <si>
    <t>A bit of everything, household items, toys, bric-a-brac all cheap and must go!</t>
  </si>
  <si>
    <t>00502</t>
  </si>
  <si>
    <t>Hibiscus Pde</t>
  </si>
  <si>
    <t>kayaks and windsurfers</t>
  </si>
  <si>
    <t>Three way camping fridge</t>
  </si>
  <si>
    <t>00501</t>
  </si>
  <si>
    <t>Scullin St</t>
  </si>
  <si>
    <t>TOWNSEND</t>
  </si>
  <si>
    <t>Clothes, jewellery, pottery, books, handmade items, craft supplies</t>
  </si>
  <si>
    <t>Eftpos available</t>
  </si>
  <si>
    <t>00500</t>
  </si>
  <si>
    <t>Emerald Pl</t>
  </si>
  <si>
    <t>00499</t>
  </si>
  <si>
    <t>Johnston St</t>
  </si>
  <si>
    <t>Refrigerator</t>
  </si>
  <si>
    <t>00498</t>
  </si>
  <si>
    <t>Mcintyres Lane</t>
  </si>
  <si>
    <t>MACLEAN - OFF GRAFTON ST</t>
  </si>
  <si>
    <t>00497</t>
  </si>
  <si>
    <t>Silkwood Dr</t>
  </si>
  <si>
    <t>double kayak</t>
  </si>
  <si>
    <t>surfboards, pressure cleaner, blankets</t>
  </si>
  <si>
    <t>00496</t>
  </si>
  <si>
    <t>Rosewood Ave</t>
  </si>
  <si>
    <t>Orchids</t>
  </si>
  <si>
    <t>00495</t>
  </si>
  <si>
    <t>Colonial Dr</t>
  </si>
  <si>
    <t>Quality golf clubs, tools and electrical equipment</t>
  </si>
  <si>
    <t>00494</t>
  </si>
  <si>
    <t>Clarence St</t>
  </si>
  <si>
    <t>MACLEAN</t>
  </si>
  <si>
    <t>Surfboard</t>
  </si>
  <si>
    <t>Furniture, Homewares</t>
  </si>
  <si>
    <t>00493</t>
  </si>
  <si>
    <t>Birkdale Crt</t>
  </si>
  <si>
    <t>00492</t>
  </si>
  <si>
    <t>Ivory Curl</t>
  </si>
  <si>
    <t>00491</t>
  </si>
  <si>
    <t>12/42</t>
  </si>
  <si>
    <t>Phillips Lane</t>
  </si>
  <si>
    <t>Murano glass vase</t>
  </si>
  <si>
    <t>DVD player</t>
  </si>
  <si>
    <t>00490</t>
  </si>
  <si>
    <t>Charles St</t>
  </si>
  <si>
    <t>Classic 1950's curved arm lounge suite.</t>
  </si>
  <si>
    <t>Moving house sell-off, including tools, household goods etc.</t>
  </si>
  <si>
    <t>00489</t>
  </si>
  <si>
    <t>records</t>
  </si>
  <si>
    <t>00488</t>
  </si>
  <si>
    <t>The Pocket Rd</t>
  </si>
  <si>
    <t>THE POCKET</t>
  </si>
  <si>
    <t>00487</t>
  </si>
  <si>
    <t>bed frame</t>
  </si>
  <si>
    <t>00486</t>
  </si>
  <si>
    <t>Highland Dr</t>
  </si>
  <si>
    <t>TERRANORA</t>
  </si>
  <si>
    <t>Kitchen ware</t>
  </si>
  <si>
    <t>Clothing, footwear</t>
  </si>
  <si>
    <t>00485</t>
  </si>
  <si>
    <t>James St</t>
  </si>
  <si>
    <t>double bed</t>
  </si>
  <si>
    <t>00484</t>
  </si>
  <si>
    <t>Eyles Dr</t>
  </si>
  <si>
    <t>8 seater glass coffee table</t>
  </si>
  <si>
    <t>00483</t>
  </si>
  <si>
    <t>Clothes, kids stuff, house stuff, furniture,</t>
  </si>
  <si>
    <t>00482</t>
  </si>
  <si>
    <t>Fingal St</t>
  </si>
  <si>
    <t>vintage fabrics and clothes</t>
  </si>
  <si>
    <t>music instruments, furniture</t>
  </si>
  <si>
    <t>00481</t>
  </si>
  <si>
    <t>Mantula Pl</t>
  </si>
  <si>
    <t>Dog kennel</t>
  </si>
  <si>
    <t>Wool, dog beds</t>
  </si>
  <si>
    <t>00480</t>
  </si>
  <si>
    <t>Hoof</t>
  </si>
  <si>
    <t>Hand Tool and Collectables</t>
  </si>
  <si>
    <t>Kids Toys and Gifts</t>
  </si>
  <si>
    <t>00479</t>
  </si>
  <si>
    <t>Vintage TV</t>
  </si>
  <si>
    <t>00478</t>
  </si>
  <si>
    <t>Maple Ave</t>
  </si>
  <si>
    <t>BOGANGAR</t>
  </si>
  <si>
    <t>Bar Collectors. Pictures/Photos Glass Sets XXXX</t>
  </si>
  <si>
    <t>Country clothing NEW. Cacti plants, Kids Toys. Carseat 0-4 GC. Bric-a-brac.</t>
  </si>
  <si>
    <t>00477</t>
  </si>
  <si>
    <t>Bione St</t>
  </si>
  <si>
    <t>Dining Table, huge book shelf, large rug, misc.</t>
  </si>
  <si>
    <t>00476</t>
  </si>
  <si>
    <t>1/2</t>
  </si>
  <si>
    <t>Vera Pl</t>
  </si>
  <si>
    <t>00475</t>
  </si>
  <si>
    <t>Uniacke Dr</t>
  </si>
  <si>
    <t>4 person spa</t>
  </si>
  <si>
    <t>Guitar, Garden tools, patio set</t>
  </si>
  <si>
    <t>00474</t>
  </si>
  <si>
    <t>Forest Way</t>
  </si>
  <si>
    <t>WOOMBAH</t>
  </si>
  <si>
    <t>all in one baby bath/changetable , toys , ornaments , craft items,cd's</t>
  </si>
  <si>
    <t>00473</t>
  </si>
  <si>
    <t>Clark St</t>
  </si>
  <si>
    <t>00472</t>
  </si>
  <si>
    <t>Bruxner Highway  Gays Hill</t>
  </si>
  <si>
    <t>Claw foot bath</t>
  </si>
  <si>
    <t>books,glass  wear,barbecue,and bunk bed and bria-a-brac</t>
  </si>
  <si>
    <t>00471</t>
  </si>
  <si>
    <t>Honeysuckle St</t>
  </si>
  <si>
    <t>Random Stuff</t>
  </si>
  <si>
    <t>00470</t>
  </si>
  <si>
    <t>Sell
Swap
Free stuff
Fundraiser</t>
  </si>
  <si>
    <t>Crabbes creek community hall monster stalls</t>
  </si>
  <si>
    <t>Crabbes Creek Rd</t>
  </si>
  <si>
    <t>CRABBES CREEK</t>
  </si>
  <si>
    <t>All stuff</t>
  </si>
  <si>
    <t>Clothing,house hold items</t>
  </si>
  <si>
    <t>00469</t>
  </si>
  <si>
    <t>Ballina St</t>
  </si>
  <si>
    <t>bar with bar stools</t>
  </si>
  <si>
    <t>heater, bikes, baby car seat, clothing, books, bar with bar stools, kitchenware &amp; heaps more!</t>
  </si>
  <si>
    <t>00468</t>
  </si>
  <si>
    <t>380A</t>
  </si>
  <si>
    <t>Friday Hut Rd</t>
  </si>
  <si>
    <t>POSSUM CREEK  NSW</t>
  </si>
  <si>
    <t>Antique cast iron Single bed, half tester</t>
  </si>
  <si>
    <t>Jewellery, Plants, Beach Sunshade</t>
  </si>
  <si>
    <t>00467</t>
  </si>
  <si>
    <t>Troon Ct</t>
  </si>
  <si>
    <t>Jewellery</t>
  </si>
  <si>
    <t>00466</t>
  </si>
  <si>
    <t>Flinders Way</t>
  </si>
  <si>
    <t>00465</t>
  </si>
  <si>
    <t>Glasgow St</t>
  </si>
  <si>
    <t>My disigner clothing</t>
  </si>
  <si>
    <t>kitchenware collection</t>
  </si>
  <si>
    <t>00464</t>
  </si>
  <si>
    <t>Quail Pl</t>
  </si>
  <si>
    <t>3 piece lounge suite (2 single seats are recliners)</t>
  </si>
  <si>
    <t>Country Pine Dresser / Round Timber dining table with 4 timber chairs</t>
  </si>
  <si>
    <t>00463</t>
  </si>
  <si>
    <t>Holmesleigh Dr</t>
  </si>
  <si>
    <t>Sundries</t>
  </si>
  <si>
    <t>00462</t>
  </si>
  <si>
    <t>Fishery Lane</t>
  </si>
  <si>
    <t>An unused sewing machine and a set of vintage railway doors</t>
  </si>
  <si>
    <t>A set of Japanese prints, other art, a mirror, vintage bits and pieces, and more</t>
  </si>
  <si>
    <t>00461</t>
  </si>
  <si>
    <t>Hare St</t>
  </si>
  <si>
    <t>Loads of Toys bikes birdcage air hockey table fish tanks clothes and more</t>
  </si>
  <si>
    <t>00460</t>
  </si>
  <si>
    <t>Marvell St</t>
  </si>
  <si>
    <t>thong business</t>
  </si>
  <si>
    <t>thongs loads of thongs/flip flops</t>
  </si>
  <si>
    <t>00459</t>
  </si>
  <si>
    <t>Commercial Rd</t>
  </si>
  <si>
    <t>Furniture, clothing, kids toys</t>
  </si>
  <si>
    <t>00458</t>
  </si>
  <si>
    <t>Elton St</t>
  </si>
  <si>
    <t>00457</t>
  </si>
  <si>
    <t>books ,clothing ,garden items plants,whitboards large fridges</t>
  </si>
  <si>
    <t>00456</t>
  </si>
  <si>
    <t>Fraser Drv</t>
  </si>
  <si>
    <t>Arcade tables . Space invaders pacman</t>
  </si>
  <si>
    <t>retro furniture , sci fi books , stand up paddle board , 2 x arcade tables , cd,s</t>
  </si>
  <si>
    <t>00455</t>
  </si>
  <si>
    <t>15/3</t>
  </si>
  <si>
    <t>Pecan Ct</t>
  </si>
  <si>
    <t>surfboard</t>
  </si>
  <si>
    <t>kids and adult books, jerry can, plant pots, clothes</t>
  </si>
  <si>
    <t>00454</t>
  </si>
  <si>
    <t>Kildare Dr</t>
  </si>
  <si>
    <t>Couch</t>
  </si>
  <si>
    <t>Fishing gear</t>
  </si>
  <si>
    <t>00453</t>
  </si>
  <si>
    <t>Lawson St</t>
  </si>
  <si>
    <t>Oriental blue rug 3600 x 2820</t>
  </si>
  <si>
    <t>Table tennis, kids desk, futon/bed frames x2, designer clothing + books</t>
  </si>
  <si>
    <t>00452</t>
  </si>
  <si>
    <t>Ballina Rd</t>
  </si>
  <si>
    <t>Elephants</t>
  </si>
  <si>
    <t>00451</t>
  </si>
  <si>
    <t>69/73</t>
  </si>
  <si>
    <t>Darlington  Dr</t>
  </si>
  <si>
    <t>BANORA  POINT</t>
  </si>
  <si>
    <t>$40.00</t>
  </si>
  <si>
    <t>Painings, pottery, household items</t>
  </si>
  <si>
    <t>00450</t>
  </si>
  <si>
    <t>Gibbon St</t>
  </si>
  <si>
    <t>Toys, Trikes, Kids Books</t>
  </si>
  <si>
    <t>00449</t>
  </si>
  <si>
    <t>Ibis Pl</t>
  </si>
  <si>
    <t>Various furniture items</t>
  </si>
  <si>
    <t>50" TV, large Bordeaux wine rack, lounge suit, timber executive desk</t>
  </si>
  <si>
    <t>00448</t>
  </si>
  <si>
    <t>Homewares, Clothing</t>
  </si>
  <si>
    <t>00447</t>
  </si>
  <si>
    <t>Gloria St</t>
  </si>
  <si>
    <t>SOUTH GOLDEN BEACH</t>
  </si>
  <si>
    <t>00446</t>
  </si>
  <si>
    <t>00445</t>
  </si>
  <si>
    <t>Bilin Rd</t>
  </si>
  <si>
    <t>Moroccan saddle-bags</t>
  </si>
  <si>
    <t>New curtains, special clothing, bric-a-brac, furniture</t>
  </si>
  <si>
    <t>00444</t>
  </si>
  <si>
    <t>Boscabel Ave</t>
  </si>
  <si>
    <t>Outboard Motor Boat - collapsible</t>
  </si>
  <si>
    <t>Large Remote Control Aircraft, Kids Stuff, Clothing</t>
  </si>
  <si>
    <t>00443</t>
  </si>
  <si>
    <t>Seven Oaks Rd</t>
  </si>
  <si>
    <t>Timber Dining Table</t>
  </si>
  <si>
    <t>00442</t>
  </si>
  <si>
    <t>Julian Rocks Dr</t>
  </si>
  <si>
    <t>Toys, Books, Bric-a-brac, furnishings and appliances</t>
  </si>
  <si>
    <t>00441</t>
  </si>
  <si>
    <t>Valla St</t>
  </si>
  <si>
    <t>Kids Toy Kitchen</t>
  </si>
  <si>
    <t>Homewares, Timber Mirror, Swing Seats, Kids Wetsuits</t>
  </si>
  <si>
    <t>00440</t>
  </si>
  <si>
    <t>Cambridge</t>
  </si>
  <si>
    <t>double bed and base</t>
  </si>
  <si>
    <t>00439</t>
  </si>
  <si>
    <t>Millar St</t>
  </si>
  <si>
    <t>Childrens Face Painter will also be in attendance</t>
  </si>
  <si>
    <t>00438</t>
  </si>
  <si>
    <t>Swift Lane</t>
  </si>
  <si>
    <t>overlocker</t>
  </si>
  <si>
    <t>glassware and crockery</t>
  </si>
  <si>
    <t>00437</t>
  </si>
  <si>
    <t>Mcinnes Rd</t>
  </si>
  <si>
    <t>MCKEES HILL</t>
  </si>
  <si>
    <t>Wardrobe</t>
  </si>
  <si>
    <t>00436</t>
  </si>
  <si>
    <t>Tuckeroo Ave</t>
  </si>
  <si>
    <t>MULLUMBIMBY (TALLOW WOOD)</t>
  </si>
  <si>
    <t>Designer Clothes, Brand New printer, Brand New cane chairs x6</t>
  </si>
  <si>
    <t>surf boards</t>
  </si>
  <si>
    <t>00435</t>
  </si>
  <si>
    <t>5/9</t>
  </si>
  <si>
    <t>Amy Crt</t>
  </si>
  <si>
    <t>00434</t>
  </si>
  <si>
    <t>1/15</t>
  </si>
  <si>
    <t>Alison Av</t>
  </si>
  <si>
    <t>00433</t>
  </si>
  <si>
    <t>Jacaranda Ave</t>
  </si>
  <si>
    <t>cane arch</t>
  </si>
  <si>
    <t>00432</t>
  </si>
  <si>
    <t>Avondale</t>
  </si>
  <si>
    <t>00431</t>
  </si>
  <si>
    <t>Merrigan St</t>
  </si>
  <si>
    <t>There will be something for everyone, furniture, CD's, collectibles.</t>
  </si>
  <si>
    <t>00430</t>
  </si>
  <si>
    <t>Lawlers Lane</t>
  </si>
  <si>
    <t>00429</t>
  </si>
  <si>
    <t>Riviera Ave</t>
  </si>
  <si>
    <t>DVDs, CDs and VHS</t>
  </si>
  <si>
    <t>00428</t>
  </si>
  <si>
    <t>Baby stuff</t>
  </si>
  <si>
    <t>New Tupperware, Bric a brac, homewares</t>
  </si>
  <si>
    <t>00427</t>
  </si>
  <si>
    <t>Orara Ct</t>
  </si>
  <si>
    <t>Some Furniture, clothes,</t>
  </si>
  <si>
    <t>00426</t>
  </si>
  <si>
    <t>Antique copy, oval table</t>
  </si>
  <si>
    <t>00425</t>
  </si>
  <si>
    <t>Bric a Brac Clothes</t>
  </si>
  <si>
    <t>00424</t>
  </si>
  <si>
    <t>Tincogan St</t>
  </si>
  <si>
    <t>Bicycles</t>
  </si>
  <si>
    <t>Loads of bicycle components</t>
  </si>
  <si>
    <t>00423</t>
  </si>
  <si>
    <t>Donaldson St</t>
  </si>
  <si>
    <t>CORAKI</t>
  </si>
  <si>
    <t>00422</t>
  </si>
  <si>
    <t>Lismore Quota Club</t>
  </si>
  <si>
    <t>Greenhills Dr</t>
  </si>
  <si>
    <t>Great variety of goods</t>
  </si>
  <si>
    <t>00421</t>
  </si>
  <si>
    <t>Terrace St</t>
  </si>
  <si>
    <t>indoor and outdoor furniture</t>
  </si>
  <si>
    <t>carpets and mats</t>
  </si>
  <si>
    <t>00420</t>
  </si>
  <si>
    <t>Rainbow Ave</t>
  </si>
  <si>
    <t>Brand named clothing! (Mink pink, Witchery, Calvin Klein, Heaps of Princess Polly brands)</t>
  </si>
  <si>
    <t>Mens fine leather jacket, Perfumes, Cds, Other random stuff</t>
  </si>
  <si>
    <t>00419</t>
  </si>
  <si>
    <t>Sunnyside Lane</t>
  </si>
  <si>
    <t>1970's Balinese painting and an imari tea set.</t>
  </si>
  <si>
    <t>embroideries, cushions, books, collectables, knitting wool and books</t>
  </si>
  <si>
    <t>00418</t>
  </si>
  <si>
    <t>Fundraiser</t>
  </si>
  <si>
    <t>Ballina Public School P&amp;C</t>
  </si>
  <si>
    <t>Crane St</t>
  </si>
  <si>
    <t>Sausage Sizzle, Drinks, Face Painting, Cake stall.</t>
  </si>
  <si>
    <t>00417</t>
  </si>
  <si>
    <t>1/121</t>
  </si>
  <si>
    <t>Kalinga St</t>
  </si>
  <si>
    <t>baby bkie seat</t>
  </si>
  <si>
    <t>toys, plants, baby car seat, scooter</t>
  </si>
  <si>
    <t>00416</t>
  </si>
  <si>
    <t>Broken Head Rd</t>
  </si>
  <si>
    <t>NEWRYBAR</t>
  </si>
  <si>
    <t>Glass table, furniture, clothing</t>
  </si>
  <si>
    <t>Clothes, Surfboards, teacups, plants, books</t>
  </si>
  <si>
    <t>00415</t>
  </si>
  <si>
    <t>Warby Rd</t>
  </si>
  <si>
    <t>JIGGI</t>
  </si>
  <si>
    <t>Glass Cabinet</t>
  </si>
  <si>
    <t>flue kit, platters, tea sets, crystal-ware, bric-a-brac, clothes, plants, camping gear, books,</t>
  </si>
  <si>
    <t>00414</t>
  </si>
  <si>
    <t>Canterbury St</t>
  </si>
  <si>
    <t>Campervan</t>
  </si>
  <si>
    <t>Compressor, motorcycle wheel changer &amp; stand</t>
  </si>
  <si>
    <t>00413</t>
  </si>
  <si>
    <t>Agape Outreach Inc. Sale bananza</t>
  </si>
  <si>
    <t>8/6</t>
  </si>
  <si>
    <t>Enterprise Ave</t>
  </si>
  <si>
    <t>1900 fine china</t>
  </si>
  <si>
    <t>Brand new shoes 1000s of them</t>
  </si>
  <si>
    <t>00412</t>
  </si>
  <si>
    <t>Oakley Ave</t>
  </si>
  <si>
    <t>fishing Rds and equipment</t>
  </si>
  <si>
    <t>00411</t>
  </si>
  <si>
    <t>Burnet St</t>
  </si>
  <si>
    <t>My clothes</t>
  </si>
  <si>
    <t>I have a mixture of different items from furniture to clothes to little nick-nacks</t>
  </si>
  <si>
    <t>00410</t>
  </si>
  <si>
    <t>tools, power tools, plants, bric-a-brac, fabric, craft</t>
  </si>
  <si>
    <t>Exercise Machine</t>
  </si>
  <si>
    <t>00409</t>
  </si>
  <si>
    <t>Narooma St</t>
  </si>
  <si>
    <t>Snow Board (Gnu, 148 cm)</t>
  </si>
  <si>
    <t>Snow Board (Gnu 148 cm), home made jewelry, hand made cloth shopping bags, Rip Curl wetsuit, Hawaiian shirts, cushions</t>
  </si>
  <si>
    <t>00408</t>
  </si>
  <si>
    <t>Monterey Ave</t>
  </si>
  <si>
    <t>Piano Organ, Cricket Helmet, Curling Wand</t>
  </si>
  <si>
    <t>Crockery, tupperware, golf clubs, folding chairs, fishing gear, childrens books, piano organ, avon, glassware, DVD's</t>
  </si>
  <si>
    <t>00407</t>
  </si>
  <si>
    <t>Botancial Cct</t>
  </si>
  <si>
    <t>Doona Covers, New Double Bed Coverlets &amp; New King Bed Doona Cover</t>
  </si>
  <si>
    <t>00406</t>
  </si>
  <si>
    <t>Queensland Rd</t>
  </si>
  <si>
    <t>00405</t>
  </si>
  <si>
    <t>Channel Pl</t>
  </si>
  <si>
    <t>Queen bedroom suite, mahogany colour, dressing table and mirror, 2 bedside drawers, bed head.</t>
  </si>
  <si>
    <t>1980s Balinese style Blanket box, full carvings. Hardly used.</t>
  </si>
  <si>
    <t>00404</t>
  </si>
  <si>
    <t>Lady Nelson Pl</t>
  </si>
  <si>
    <t>Cedar Barley Twist Floor Lamp</t>
  </si>
  <si>
    <t>Vintage Kitchen Dresser,Treadle sewing maching</t>
  </si>
  <si>
    <t>00403</t>
  </si>
  <si>
    <t>vinyls</t>
  </si>
  <si>
    <t>00402</t>
  </si>
  <si>
    <t>Quarrion Pl</t>
  </si>
  <si>
    <t>GULMARRAN</t>
  </si>
  <si>
    <t>Assortments</t>
  </si>
  <si>
    <t>00401</t>
  </si>
  <si>
    <t>Howe St</t>
  </si>
  <si>
    <t>Bike trailer/pram</t>
  </si>
  <si>
    <t>Cross trainer, motorbike gear</t>
  </si>
  <si>
    <t>00400</t>
  </si>
  <si>
    <t>Grevillia   Dr</t>
  </si>
  <si>
    <t>WATERVIEW  HEIGHTS</t>
  </si>
  <si>
    <t>MOTOR   VEHICLE</t>
  </si>
  <si>
    <t>00399</t>
  </si>
  <si>
    <t>Summerhill Cres</t>
  </si>
  <si>
    <t>CUMBALUM</t>
  </si>
  <si>
    <t>electric organ</t>
  </si>
  <si>
    <t>00398</t>
  </si>
  <si>
    <t>00397</t>
  </si>
  <si>
    <t>Upper Crystal Creek Rd</t>
  </si>
  <si>
    <t>UPPER CRYSTAL CREEK</t>
  </si>
  <si>
    <t>Renovators delight - from planers to compressors to welders - for your home building project. Don't miss this sale!</t>
  </si>
  <si>
    <t>Power tools</t>
  </si>
  <si>
    <t>00396</t>
  </si>
  <si>
    <t>Richmond Terrace</t>
  </si>
  <si>
    <t>Fisher &amp; Paykel Chest freezer</t>
  </si>
  <si>
    <t>Concrete mixer, sewing machine, BBQ 4 burner, vacuum cleaner, cabinet. computer parts</t>
  </si>
  <si>
    <t>00395</t>
  </si>
  <si>
    <t>2/37</t>
  </si>
  <si>
    <t>Ash Dr</t>
  </si>
  <si>
    <t>Spiritual figurines and Jewellery</t>
  </si>
  <si>
    <t>00394</t>
  </si>
  <si>
    <t>Furniture Items</t>
  </si>
  <si>
    <t>Bikes, Toys,</t>
  </si>
  <si>
    <t>00393</t>
  </si>
  <si>
    <t>A/29</t>
  </si>
  <si>
    <t>Border Cres</t>
  </si>
  <si>
    <t>Massager</t>
  </si>
  <si>
    <t>Men's clothing some new some nearly new also original paintings</t>
  </si>
  <si>
    <t>00392</t>
  </si>
  <si>
    <t>Nargoon Ct</t>
  </si>
  <si>
    <t>00391</t>
  </si>
  <si>
    <t>Oakbank Tce</t>
  </si>
  <si>
    <t>DVD's CD's</t>
  </si>
  <si>
    <t>00390</t>
  </si>
  <si>
    <t>Rainforest Way</t>
  </si>
  <si>
    <t>Wedding paraphernalia, linen, piano stool, garden pots, heater, some clothing</t>
  </si>
  <si>
    <t>00389</t>
  </si>
  <si>
    <t>books</t>
  </si>
  <si>
    <t>00388</t>
  </si>
  <si>
    <t>2/45</t>
  </si>
  <si>
    <t>Kitchenware</t>
  </si>
  <si>
    <t>00387</t>
  </si>
  <si>
    <t>Monastery Lane</t>
  </si>
  <si>
    <t>printers</t>
  </si>
  <si>
    <t>00386</t>
  </si>
  <si>
    <t>2/54</t>
  </si>
  <si>
    <t>Mckenzie St</t>
  </si>
  <si>
    <t>00385</t>
  </si>
  <si>
    <t>2-25</t>
  </si>
  <si>
    <t>Flemington St</t>
  </si>
  <si>
    <t>Dinning setting</t>
  </si>
  <si>
    <t>Treadmill</t>
  </si>
  <si>
    <t>00384</t>
  </si>
  <si>
    <t>Catherine Cres</t>
  </si>
  <si>
    <t>homewares</t>
  </si>
  <si>
    <t>videos, books, wall art</t>
  </si>
  <si>
    <t>00383</t>
  </si>
  <si>
    <t>Aries  Rd</t>
  </si>
  <si>
    <t>Exercise bike</t>
  </si>
  <si>
    <t>00382</t>
  </si>
  <si>
    <t>Tristania St</t>
  </si>
  <si>
    <t>books, books, books</t>
  </si>
  <si>
    <t>00381</t>
  </si>
  <si>
    <t>Tallowood Ave</t>
  </si>
  <si>
    <t>Fishtank accessories</t>
  </si>
  <si>
    <t>Fans</t>
  </si>
  <si>
    <t>00380</t>
  </si>
  <si>
    <t>2/77</t>
  </si>
  <si>
    <t>Cherry St</t>
  </si>
  <si>
    <t>kokadama moss ball plant</t>
  </si>
  <si>
    <t>Japanese kokadamas</t>
  </si>
  <si>
    <t>00379</t>
  </si>
  <si>
    <t>Recliner Lounge Chair</t>
  </si>
  <si>
    <t>00378</t>
  </si>
  <si>
    <t>2 / 84</t>
  </si>
  <si>
    <t>Caloola Dr</t>
  </si>
  <si>
    <t>TWEED HEADS   NSW</t>
  </si>
  <si>
    <t>Cane Lounge Setting with matching Buffet &amp; 2 coffee tables</t>
  </si>
  <si>
    <t>Crystal Glasses sets &amp; Ornaments, Furniture  Horse Brass,  Copper Ships Lantern, Outdoor Glass top table &amp; 4 chairs</t>
  </si>
  <si>
    <t>00377</t>
  </si>
  <si>
    <t>2/25</t>
  </si>
  <si>
    <t>Beachfront Pde</t>
  </si>
  <si>
    <t>00376</t>
  </si>
  <si>
    <t>All the clothes that don't fit anymore!</t>
  </si>
  <si>
    <t>manniquin</t>
  </si>
  <si>
    <t>00375</t>
  </si>
  <si>
    <t>Hindmarsh</t>
  </si>
  <si>
    <t>Books, Toys, Furniture, Clothes, Household Items, Camping Gear, Boat &amp; Trailer</t>
  </si>
  <si>
    <t>Books, Household Items, Camping Gear, Boat &amp; Trailer</t>
  </si>
  <si>
    <t>00374</t>
  </si>
  <si>
    <t>1/8</t>
  </si>
  <si>
    <t>00373</t>
  </si>
  <si>
    <t>Wren Ct</t>
  </si>
  <si>
    <t>Moving overseas, everything to go!</t>
  </si>
  <si>
    <t>Boats, motorbike, furniture, electrical gear.</t>
  </si>
  <si>
    <t>00372</t>
  </si>
  <si>
    <t>Gilba Ave</t>
  </si>
  <si>
    <t>Clothing  and linen. Loads of bargains.</t>
  </si>
  <si>
    <t>00371</t>
  </si>
  <si>
    <t>Skye Close</t>
  </si>
  <si>
    <t>Moving house sale</t>
  </si>
  <si>
    <t>00370</t>
  </si>
  <si>
    <t>Sansom</t>
  </si>
  <si>
    <t>Dining table</t>
  </si>
  <si>
    <t>Fridge Freezer, lounge with fold out bed,dog kennel</t>
  </si>
  <si>
    <t>00369</t>
  </si>
  <si>
    <t>Long St</t>
  </si>
  <si>
    <t>00368</t>
  </si>
  <si>
    <t>Coonawarra Ct</t>
  </si>
  <si>
    <t>old china</t>
  </si>
  <si>
    <t>Books, kitchen goods</t>
  </si>
  <si>
    <t>00367</t>
  </si>
  <si>
    <t>Harvestview Pl</t>
  </si>
  <si>
    <t>FAIRY HILL</t>
  </si>
  <si>
    <t>Furniture, household items, electrical goods</t>
  </si>
  <si>
    <t>00366</t>
  </si>
  <si>
    <t>Collectable, Bric Brac, Clothing, Kids Stuff</t>
  </si>
  <si>
    <t>Handmade Shell Coffee Table, Original Artworks</t>
  </si>
  <si>
    <t>00365</t>
  </si>
  <si>
    <t>Peate Ct</t>
  </si>
  <si>
    <t>Portable airconditioner and quality baby cot</t>
  </si>
  <si>
    <t>Chipper Chopper (Garden mulcher, baby things like change tables, motherhood books, cot, kids clothes, etc...)</t>
  </si>
  <si>
    <t>00364</t>
  </si>
  <si>
    <t>Wardell Rd</t>
  </si>
  <si>
    <t>Everything</t>
  </si>
  <si>
    <t>00363</t>
  </si>
  <si>
    <t>Tia Pl</t>
  </si>
  <si>
    <t>Serving platters</t>
  </si>
  <si>
    <t>Books, Table Lamp, Cushions, bed spread, bathroom accessories, storage container, basketware, ladies clothes &amp; shoes</t>
  </si>
  <si>
    <t>00362</t>
  </si>
  <si>
    <t>Fingal Rd</t>
  </si>
  <si>
    <t>FINGAL</t>
  </si>
  <si>
    <t>Three Wheel Tricycle</t>
  </si>
  <si>
    <t>Crockery, ladies Size 16 Clothes, Jewellery, Queen Size mattress, three wheel tricycle</t>
  </si>
  <si>
    <t>00361</t>
  </si>
  <si>
    <t>Cats Galore!!! Vet Dental Fundraiser</t>
  </si>
  <si>
    <t>Yungarup Pl</t>
  </si>
  <si>
    <t>silverplated cutlery set 90pieces,cedar buffet,vintage mixmaster,crystal,2003 subaru forester roof racks</t>
  </si>
  <si>
    <t>crockery,paintings,jewellary,books,dvds,plants,clothes</t>
  </si>
  <si>
    <t>00360</t>
  </si>
  <si>
    <t>Gibson St</t>
  </si>
  <si>
    <t>00359</t>
  </si>
  <si>
    <t>Snapper Ave</t>
  </si>
  <si>
    <t>French Provisional Furniture + Lounges</t>
  </si>
  <si>
    <t>00358</t>
  </si>
  <si>
    <t>Major Mitchell Dr</t>
  </si>
  <si>
    <t>Outdoor items</t>
  </si>
  <si>
    <t>00357</t>
  </si>
  <si>
    <t>Conte St</t>
  </si>
  <si>
    <t>Children's items: toys, clothes, DVDs, games...</t>
  </si>
  <si>
    <t>00356</t>
  </si>
  <si>
    <t>Kingsley St</t>
  </si>
  <si>
    <t>treasured clothing</t>
  </si>
  <si>
    <t>sausage sizzle , plants and home made cooking!</t>
  </si>
  <si>
    <t>00355</t>
  </si>
  <si>
    <t>Merlot Ct</t>
  </si>
  <si>
    <t>arcade games, vinyls, unusual bric a brac</t>
  </si>
  <si>
    <t>Pokie machine</t>
  </si>
  <si>
    <t>00354</t>
  </si>
  <si>
    <t>Warratah St</t>
  </si>
  <si>
    <t>Camping Gear</t>
  </si>
  <si>
    <t>00353</t>
  </si>
  <si>
    <t>Lennox St</t>
  </si>
  <si>
    <t>Noritake Dinner Sets</t>
  </si>
  <si>
    <t>Bedroom Suite</t>
  </si>
  <si>
    <t>00352</t>
  </si>
  <si>
    <t>Moon St</t>
  </si>
  <si>
    <t>BALLINA NSW</t>
  </si>
  <si>
    <t>00351</t>
  </si>
  <si>
    <t>Bellbird Dr</t>
  </si>
  <si>
    <t>Household Excess</t>
  </si>
  <si>
    <t>CDs and Plants</t>
  </si>
  <si>
    <t>00350</t>
  </si>
  <si>
    <t>2/125</t>
  </si>
  <si>
    <t>Military Rd</t>
  </si>
  <si>
    <t>Clothes and household items</t>
  </si>
  <si>
    <t>00349</t>
  </si>
  <si>
    <t>Tamarind Ave</t>
  </si>
  <si>
    <t>Surf boards homewares tools</t>
  </si>
  <si>
    <t>00348</t>
  </si>
  <si>
    <t>ULMARRA</t>
  </si>
  <si>
    <t>Old books</t>
  </si>
  <si>
    <t>00347</t>
  </si>
  <si>
    <t>Myrtle St Access In Myrtle Lane</t>
  </si>
  <si>
    <t>China crockery, plants and big pots, tools, books,</t>
  </si>
  <si>
    <t>female &amp; male bikes, female cloths size 12-14, shoes</t>
  </si>
  <si>
    <t>00346</t>
  </si>
  <si>
    <t>Booyun St</t>
  </si>
  <si>
    <t>French antique bed</t>
  </si>
  <si>
    <t>00345</t>
  </si>
  <si>
    <t>74-76</t>
  </si>
  <si>
    <t>Pearl St</t>
  </si>
  <si>
    <t>00344</t>
  </si>
  <si>
    <t>Riversdale Bvd</t>
  </si>
  <si>
    <t>Single jet ski SEA00 &amp; Trailer in excellent condition</t>
  </si>
  <si>
    <t>Oz 3 Room Tent, Rangehood, old bottles, fishing gear, pot plants, crockery, vaccum cleaner, large floor sweeper</t>
  </si>
  <si>
    <t>00343</t>
  </si>
  <si>
    <t>Links St</t>
  </si>
  <si>
    <t>00342</t>
  </si>
  <si>
    <t>Banora Blve</t>
  </si>
  <si>
    <t>00341</t>
  </si>
  <si>
    <t>Brand new above ground swimming pool</t>
  </si>
  <si>
    <t>00340</t>
  </si>
  <si>
    <t>Korau Pl</t>
  </si>
  <si>
    <t>Beautiful cushions</t>
  </si>
  <si>
    <t>Some artwork</t>
  </si>
  <si>
    <t>00339</t>
  </si>
  <si>
    <t>Mia Ct</t>
  </si>
  <si>
    <t>a bed</t>
  </si>
  <si>
    <t>00338</t>
  </si>
  <si>
    <t>4/8-10</t>
  </si>
  <si>
    <t>Namitjara Pl</t>
  </si>
  <si>
    <t>00337</t>
  </si>
  <si>
    <t>Hutley Dr</t>
  </si>
  <si>
    <t>Homewares Clothes</t>
  </si>
  <si>
    <t>Curtains</t>
  </si>
  <si>
    <t>00336</t>
  </si>
  <si>
    <t>Bundeena St</t>
  </si>
  <si>
    <t>Office Furniture</t>
  </si>
  <si>
    <t>Treadmill, books, office equipment</t>
  </si>
  <si>
    <t>00335</t>
  </si>
  <si>
    <t>MS Moonlight Walk Brisbane October</t>
  </si>
  <si>
    <t>Endiandra Close</t>
  </si>
  <si>
    <t>2 Ladies Bikes not been ridden much.</t>
  </si>
  <si>
    <t>Antique marble top coffee table, New Barcelona soccer jersey size M</t>
  </si>
  <si>
    <t>00334</t>
  </si>
  <si>
    <t>Summerland Way</t>
  </si>
  <si>
    <t>tv video cabinet</t>
  </si>
  <si>
    <t>garden tools plants</t>
  </si>
  <si>
    <t>00333</t>
  </si>
  <si>
    <t>Andrew St</t>
  </si>
  <si>
    <t>Bbq,coffee table,telescope , bicycle</t>
  </si>
  <si>
    <t>00332</t>
  </si>
  <si>
    <t>Mcgoughans Lane</t>
  </si>
  <si>
    <t>A beautiful Art Deco timber sideboard</t>
  </si>
  <si>
    <t>00331</t>
  </si>
  <si>
    <t>Clarence River Mens Shed</t>
  </si>
  <si>
    <t>Jubilee St</t>
  </si>
  <si>
    <t>Car Boot Sale as well.  $10 for a stall. Contact Pam on 0421869405.</t>
  </si>
  <si>
    <t>00330</t>
  </si>
  <si>
    <t>5/17</t>
  </si>
  <si>
    <t>golf clubs</t>
  </si>
  <si>
    <t>picnic baskets, lamps, garage tools, 2 sets golf clubs</t>
  </si>
  <si>
    <t>00329</t>
  </si>
  <si>
    <t>Electrical appliances</t>
  </si>
  <si>
    <t>Dvd's cd's stereo equipment clothes bikes and furniture</t>
  </si>
  <si>
    <t>00328</t>
  </si>
  <si>
    <t>Aluminium Boat, CB Radio items, furniture</t>
  </si>
  <si>
    <t>00327</t>
  </si>
  <si>
    <t>Large wooden doll (Queenslander House)</t>
  </si>
  <si>
    <t>Boating Roller &amp; Anchors, Fishing Rods &amp; Reels &amp; Mechanical Tools</t>
  </si>
  <si>
    <t>00326</t>
  </si>
  <si>
    <t>Aries Rd</t>
  </si>
  <si>
    <t>An old Belling piano</t>
  </si>
  <si>
    <t>Primary Teaching Books</t>
  </si>
  <si>
    <t>00325</t>
  </si>
  <si>
    <t>Canterbury Chase</t>
  </si>
  <si>
    <t>Massive comic collection and old oil painting</t>
  </si>
  <si>
    <t>New hardware; new Beefeater bbq trolley - plus lots more</t>
  </si>
  <si>
    <t>00324</t>
  </si>
  <si>
    <t>1/11</t>
  </si>
  <si>
    <t>Ross St</t>
  </si>
  <si>
    <t>Antique  3 in 1 HI FI System</t>
  </si>
  <si>
    <t>00323</t>
  </si>
  <si>
    <t>Acacia Cct</t>
  </si>
  <si>
    <t>Everything very very cheap</t>
  </si>
  <si>
    <t>00322</t>
  </si>
  <si>
    <t>Smiths Creek Rd</t>
  </si>
  <si>
    <t>UKI</t>
  </si>
  <si>
    <t>00321</t>
  </si>
  <si>
    <t>00320</t>
  </si>
  <si>
    <t>Skinner Cres</t>
  </si>
  <si>
    <t>00319</t>
  </si>
  <si>
    <t>Queen</t>
  </si>
  <si>
    <t>white goods</t>
  </si>
  <si>
    <t>00318</t>
  </si>
  <si>
    <t>14/3-7</t>
  </si>
  <si>
    <t>Toys, Bake sale &amp; cold drinks, craft items, kitchen appliances, portacot, books ,vintage ,PlayStation 3 games, clothes,</t>
  </si>
  <si>
    <t>00317</t>
  </si>
  <si>
    <t>Teak Cct</t>
  </si>
  <si>
    <t>Snow Board &amp; size 7boot</t>
  </si>
  <si>
    <t>Bric n brac</t>
  </si>
  <si>
    <t>00316</t>
  </si>
  <si>
    <t>Gradwell Dr</t>
  </si>
  <si>
    <t>Kids toys, clothes, books. dolls, camping gear</t>
  </si>
  <si>
    <t>Tent, shoes, clothes, golf clubs, fluffy toys, linen,Lots of dolls</t>
  </si>
  <si>
    <t>00315</t>
  </si>
  <si>
    <t>2/29</t>
  </si>
  <si>
    <t>Crockery, speakers, books, etc</t>
  </si>
  <si>
    <t>00314</t>
  </si>
  <si>
    <t>Tralee Dr</t>
  </si>
  <si>
    <t>1980 Oval Dining Table,Extends with 6 chairs. My size Angel Barbie, 91 cm tall. Size of 3yr child.</t>
  </si>
  <si>
    <t>1979 Baby pram, large coffee table, bedside draws. Garden equipment. Trestles. New beach chair.</t>
  </si>
  <si>
    <t>00313</t>
  </si>
  <si>
    <t>Carrington Ct</t>
  </si>
  <si>
    <t>Fabrics, New Women's Clothing Patterns, Sizes large Plus,Furniture, Bric -a-brac, arts&amp; crafts, books, kids toys &amp; clothing,jewellery</t>
  </si>
  <si>
    <t>00312</t>
  </si>
  <si>
    <t>West End St</t>
  </si>
  <si>
    <t>Guitars, books</t>
  </si>
  <si>
    <t>00311</t>
  </si>
  <si>
    <t>Casino St</t>
  </si>
  <si>
    <t>PA system and music equipment</t>
  </si>
  <si>
    <t>vintage scales</t>
  </si>
  <si>
    <t>00310</t>
  </si>
  <si>
    <t>Bass amp</t>
  </si>
  <si>
    <t>00309</t>
  </si>
  <si>
    <t>BALLINA ISLAND. NEW SOUTH WALES.</t>
  </si>
  <si>
    <t>00308</t>
  </si>
  <si>
    <t>sell</t>
  </si>
  <si>
    <t>Roseview Rd</t>
  </si>
  <si>
    <t>MCLEANS RIDGES</t>
  </si>
  <si>
    <t>The greatest treasure we are selling is my 2005 camry sportivo. The rest is baby and childrens clothes, brica brac and some appliances and coffee table etc</t>
  </si>
  <si>
    <t>car</t>
  </si>
  <si>
    <t>00307</t>
  </si>
  <si>
    <t>Waratah Way</t>
  </si>
  <si>
    <t>Baby walker</t>
  </si>
  <si>
    <t>00306</t>
  </si>
  <si>
    <t>Adele St</t>
  </si>
  <si>
    <t>Many treasures to choose from...</t>
  </si>
  <si>
    <t>Art &amp; Craft supplies</t>
  </si>
  <si>
    <t>00305</t>
  </si>
  <si>
    <t>Ridge St</t>
  </si>
  <si>
    <t>picnic table, dvds,</t>
  </si>
  <si>
    <t>00304</t>
  </si>
  <si>
    <t>Fig Ct</t>
  </si>
  <si>
    <t>Sports ware</t>
  </si>
  <si>
    <t>00303</t>
  </si>
  <si>
    <t>Cerreto Cct</t>
  </si>
  <si>
    <t>clothing</t>
  </si>
  <si>
    <t>00301</t>
  </si>
  <si>
    <t>1/33</t>
  </si>
  <si>
    <t>Mistletoe Cct</t>
  </si>
  <si>
    <t>Dining suite timber/iron table with 6 iron/fabric chairs great condition $50 pick up only</t>
  </si>
  <si>
    <t>Some new items from closed shop at wholesale price and below. Giftware and accessories.</t>
  </si>
  <si>
    <t>00300</t>
  </si>
  <si>
    <t>Hardy Ave</t>
  </si>
  <si>
    <t>NORTH OCEAN SHORES</t>
  </si>
  <si>
    <t>art prints, art books</t>
  </si>
  <si>
    <t>00299</t>
  </si>
  <si>
    <t>Spotted Gum Close</t>
  </si>
  <si>
    <t>lots of boys stuff!</t>
  </si>
  <si>
    <t>00298</t>
  </si>
  <si>
    <t>Garden statues</t>
  </si>
  <si>
    <t>Kitchen appliances, LP records.DVD,CD,Books,ornaments</t>
  </si>
  <si>
    <t>00297</t>
  </si>
  <si>
    <t>Albert St</t>
  </si>
  <si>
    <t>00296</t>
  </si>
  <si>
    <t>Desks, car tow ball, set of draws plus mirror, medium round table plus more</t>
  </si>
  <si>
    <t>00295</t>
  </si>
  <si>
    <t>Reef Water Cct</t>
  </si>
  <si>
    <t>00294</t>
  </si>
  <si>
    <t>Ladies handbags</t>
  </si>
  <si>
    <t>Ladies handbags and shoes</t>
  </si>
  <si>
    <t>00293</t>
  </si>
  <si>
    <t>2/51</t>
  </si>
  <si>
    <t>Cassia</t>
  </si>
  <si>
    <t>Hall hat stand</t>
  </si>
  <si>
    <t>00292</t>
  </si>
  <si>
    <t>Heritage Ct</t>
  </si>
  <si>
    <t>toys, antiques, china, flippers, kitchen stuff, tent, bricabrac</t>
  </si>
  <si>
    <t>Antiques, china, new flippers</t>
  </si>
  <si>
    <t>00291</t>
  </si>
  <si>
    <t>ILARWILL</t>
  </si>
  <si>
    <t>Colectables cloths goods and chatles</t>
  </si>
  <si>
    <t>Lawn mowers whippy dnippers etc</t>
  </si>
  <si>
    <t>00290</t>
  </si>
  <si>
    <t>Maud St</t>
  </si>
  <si>
    <t>clothing and much more</t>
  </si>
  <si>
    <t>00289</t>
  </si>
  <si>
    <t>00288</t>
  </si>
  <si>
    <t>Smiths Lane</t>
  </si>
  <si>
    <t>Antique kerosene lamp</t>
  </si>
  <si>
    <t>Some vintage items and collectables</t>
  </si>
  <si>
    <t>00287</t>
  </si>
  <si>
    <t>Hogues Lane</t>
  </si>
  <si>
    <t>art work, antiques, dinner set, furniture, clothes, books, floor rugs</t>
  </si>
  <si>
    <t>cedar entrance door with original glass panels + brass knocker</t>
  </si>
  <si>
    <t>00286</t>
  </si>
  <si>
    <t>Kurrajong</t>
  </si>
  <si>
    <t>CANIABA</t>
  </si>
  <si>
    <t>COMPUTER DESK</t>
  </si>
  <si>
    <t>OLD TOOLS</t>
  </si>
  <si>
    <t>00285</t>
  </si>
  <si>
    <t>Mcphail Ave</t>
  </si>
  <si>
    <t>Toyota 2005 Hilux</t>
  </si>
  <si>
    <t>Camping gear, spring clean house and garage items everything.</t>
  </si>
  <si>
    <t>00284</t>
  </si>
  <si>
    <t>Paunelle Ave</t>
  </si>
  <si>
    <t>dining suite</t>
  </si>
  <si>
    <t>clearing out of household goods</t>
  </si>
  <si>
    <t>00283</t>
  </si>
  <si>
    <t>sporting memorabillia</t>
  </si>
  <si>
    <t>downsizing so there will be lots of everything including clothing, collectables and electrical</t>
  </si>
  <si>
    <t>00282</t>
  </si>
  <si>
    <t>Clareville Rd</t>
  </si>
  <si>
    <t>SMITHS CREEK</t>
  </si>
  <si>
    <t>antique sideboard</t>
  </si>
  <si>
    <t>Plants, Jam, Collectables,clothing and handbags</t>
  </si>
  <si>
    <t>00281</t>
  </si>
  <si>
    <t>Mcphee</t>
  </si>
  <si>
    <t>clothing and eccesiories</t>
  </si>
  <si>
    <t>shoes jewlery brand new clothing</t>
  </si>
  <si>
    <t>00280</t>
  </si>
  <si>
    <t>2/2</t>
  </si>
  <si>
    <t>Dining suite, floor rug, tarpoline</t>
  </si>
  <si>
    <t>00279</t>
  </si>
  <si>
    <t>Birnam Ave</t>
  </si>
  <si>
    <t>Men's and ladies clothes,  toys,  books,  dining table</t>
  </si>
  <si>
    <t>00278</t>
  </si>
  <si>
    <t>Chickiba Dr</t>
  </si>
  <si>
    <t>antique cupboard , antiques, massage table</t>
  </si>
  <si>
    <t>fish tanks, clothes, shoes, massage table, jewellery, books</t>
  </si>
  <si>
    <t>00277</t>
  </si>
  <si>
    <t>Tweed Valley Way</t>
  </si>
  <si>
    <t>Antique safe</t>
  </si>
  <si>
    <t>Costume jewellery</t>
  </si>
  <si>
    <t>00276</t>
  </si>
  <si>
    <t>Casuarina Rd</t>
  </si>
  <si>
    <t>lift chair</t>
  </si>
  <si>
    <t>beach fishing rods  electric winch  washing machine fridge</t>
  </si>
  <si>
    <t>00274</t>
  </si>
  <si>
    <t>3.7m Clark Cutter open Dinghy with 15hp Yamaha Outboard</t>
  </si>
  <si>
    <t>2 Lawn mowers, drop saw, chainsaw, paintings.</t>
  </si>
  <si>
    <t>00273</t>
  </si>
  <si>
    <t>Herford St</t>
  </si>
  <si>
    <t>ALUMINIUM RUNABOUT BOAT WITH MOTOR</t>
  </si>
  <si>
    <t>FISH TANKS,LIGHTING and FILTERS etc    FIBREGLASS HALF-CABIN PROJECT BOAT</t>
  </si>
  <si>
    <t>00272</t>
  </si>
  <si>
    <t>1/9-11</t>
  </si>
  <si>
    <t>Mullumbimbi St Brunswick Lodge</t>
  </si>
  <si>
    <t>antiques, cd's, dvd's,</t>
  </si>
  <si>
    <t>00271</t>
  </si>
  <si>
    <t>Greendale Pl</t>
  </si>
  <si>
    <t>Music speakers &amp; amps, guitar related items &amp; Music Records and Player, Music Chair</t>
  </si>
  <si>
    <t>Deep fryer, cooking utensils, mens clothing, clock radio, stools,</t>
  </si>
  <si>
    <t>00270</t>
  </si>
  <si>
    <t>Westview Dr</t>
  </si>
  <si>
    <t>Mobility Scooter</t>
  </si>
  <si>
    <t>Foot spa</t>
  </si>
  <si>
    <t>00269</t>
  </si>
  <si>
    <t>MULLUMBIMBY CREEK</t>
  </si>
  <si>
    <t>Beautiful wooden Table and Chairs</t>
  </si>
  <si>
    <t>Bric a brac &amp; kids clothes</t>
  </si>
  <si>
    <t>00268</t>
  </si>
  <si>
    <t>Bonny Glen Pl</t>
  </si>
  <si>
    <t>DVD</t>
  </si>
  <si>
    <t>00267</t>
  </si>
  <si>
    <t>5/26</t>
  </si>
  <si>
    <t>Beech Dr</t>
  </si>
  <si>
    <t>00266</t>
  </si>
  <si>
    <t>Links Ave</t>
  </si>
  <si>
    <t>Old China Ware</t>
  </si>
  <si>
    <t>00265</t>
  </si>
  <si>
    <t>Baker St</t>
  </si>
  <si>
    <t>Appliances, clothes, books, homeware</t>
  </si>
  <si>
    <t>Electronics, furniture, bric-a-brac</t>
  </si>
  <si>
    <t>00264</t>
  </si>
  <si>
    <t>Furniture bookshelf</t>
  </si>
  <si>
    <t>Antique style desk</t>
  </si>
  <si>
    <t>00263</t>
  </si>
  <si>
    <t>Fernleigh Rd</t>
  </si>
  <si>
    <t>FERNLEIGH</t>
  </si>
  <si>
    <t>Linen</t>
  </si>
  <si>
    <t>00262</t>
  </si>
  <si>
    <t>Riversdale Bvde</t>
  </si>
  <si>
    <t>00261</t>
  </si>
  <si>
    <t>Blueberry Ct</t>
  </si>
  <si>
    <t>set of four outdoor teak chairs</t>
  </si>
  <si>
    <t>framed artwork</t>
  </si>
  <si>
    <t>00260</t>
  </si>
  <si>
    <t>Yamble Dr</t>
  </si>
  <si>
    <t>Nic nacs</t>
  </si>
  <si>
    <t>00259</t>
  </si>
  <si>
    <t>John Sharpe St</t>
  </si>
  <si>
    <t>2 vacuum cleaners  -  2 bathroom mirrors</t>
  </si>
  <si>
    <t>computer chair, kitchenware, books, craft, king bedspread, lots more</t>
  </si>
  <si>
    <t>00258</t>
  </si>
  <si>
    <t>4 colo</t>
  </si>
  <si>
    <t>old wears</t>
  </si>
  <si>
    <t>gulf sticks</t>
  </si>
  <si>
    <t>00257</t>
  </si>
  <si>
    <t>Colches St Near Railway Entrance</t>
  </si>
  <si>
    <t>00256</t>
  </si>
  <si>
    <t>71A</t>
  </si>
  <si>
    <t>Rowlands Creek Rd</t>
  </si>
  <si>
    <t>Decorative good quality metal garden seat</t>
  </si>
  <si>
    <t>Outdoor furniture &amp; equipment, 81 pce Noritake dinner set, some collectibles, many other items.</t>
  </si>
  <si>
    <t>00255</t>
  </si>
  <si>
    <t>plants, furniture, household items</t>
  </si>
  <si>
    <t>00254</t>
  </si>
  <si>
    <t>2/5</t>
  </si>
  <si>
    <t>Camira Ct</t>
  </si>
  <si>
    <t>Cups, Sauces &amp; Plates</t>
  </si>
  <si>
    <t>Small garden statues, orchids, ladies size 10-12 clothes, James Patterson &amp; Di Morresy Books</t>
  </si>
  <si>
    <t>00253</t>
  </si>
  <si>
    <t>00252</t>
  </si>
  <si>
    <t>Covent Garden Way</t>
  </si>
  <si>
    <t>Second hand bikes starting from $10.00.</t>
  </si>
  <si>
    <t>00251</t>
  </si>
  <si>
    <t>Scott St</t>
  </si>
  <si>
    <t>Much loved clothes, 75cm red bar stools, queen size white bed linen, queen size Donna cover, queen wool Fiona</t>
  </si>
  <si>
    <t>00250</t>
  </si>
  <si>
    <t>Hartigan St</t>
  </si>
  <si>
    <t>Furniture, dvds, cds, fitness gear</t>
  </si>
  <si>
    <t>00249</t>
  </si>
  <si>
    <t>Australian made Antique Saddle 1950s</t>
  </si>
  <si>
    <t>Antique kitchen dresser &amp; dressing table, 'Nerf toy Armory, Antiqe Sewing Machines, Learn to surf board,</t>
  </si>
  <si>
    <t>00248</t>
  </si>
  <si>
    <t>Parrot Tree Pl</t>
  </si>
  <si>
    <t>antique clothes</t>
  </si>
  <si>
    <t>books, plants, crockery, artworks, frames, bric-a-brac</t>
  </si>
  <si>
    <t>00247</t>
  </si>
  <si>
    <t>Brushbox Dr</t>
  </si>
  <si>
    <t>Multi media boom box</t>
  </si>
  <si>
    <t>bookcase, folding storage bed, sofa bed, bookcase, homewares, toys, books, plants</t>
  </si>
  <si>
    <t>00246</t>
  </si>
  <si>
    <t>Beryl Pl</t>
  </si>
  <si>
    <t>$2 clothing</t>
  </si>
  <si>
    <t>00245</t>
  </si>
  <si>
    <t>Pearl</t>
  </si>
  <si>
    <t>A lot of shed stuff, tools for leadlight glass and tile mosaics</t>
  </si>
  <si>
    <t>00244</t>
  </si>
  <si>
    <t>Kelburn Close</t>
  </si>
  <si>
    <t>100's of Reader Digest Records Still Package</t>
  </si>
  <si>
    <t>Mobility Scooter in great condition</t>
  </si>
  <si>
    <t>00243</t>
  </si>
  <si>
    <t>Convent Pde</t>
  </si>
  <si>
    <t>Singer Treadle Sewing Machine</t>
  </si>
  <si>
    <t>Aged care mobility equipment, Furniture, Garden pots, baby gear, push bike,</t>
  </si>
  <si>
    <t>00242</t>
  </si>
  <si>
    <t>Ivory Curl Pl</t>
  </si>
  <si>
    <t>homeware , bric a brac, baby goods , books</t>
  </si>
  <si>
    <t>00241</t>
  </si>
  <si>
    <t>vintage old wares</t>
  </si>
  <si>
    <t>antique crockery</t>
  </si>
  <si>
    <t>00240</t>
  </si>
  <si>
    <t>Sequoia Ct</t>
  </si>
  <si>
    <t>00239</t>
  </si>
  <si>
    <t>Warina Pl</t>
  </si>
  <si>
    <t>00238</t>
  </si>
  <si>
    <t>Royal Institute for Deaf and Blind Children</t>
  </si>
  <si>
    <t>Eskimo Ct</t>
  </si>
  <si>
    <t>Clothing, toys, kitchen items, decorative items, artworks, books, shelving, girls costumes, white goods &amp; so much more!</t>
  </si>
  <si>
    <t>00237</t>
  </si>
  <si>
    <t>SPRINGROVE</t>
  </si>
  <si>
    <t>Budgies</t>
  </si>
  <si>
    <t>Chooks</t>
  </si>
  <si>
    <t>00236</t>
  </si>
  <si>
    <t>Golden Links Dr</t>
  </si>
  <si>
    <t>Jewellery (womens rings)</t>
  </si>
  <si>
    <t>circular drop saw, ext ladder, line trimmer, 3pce outside setting, moon chairs (black), womens shoes sz 10, silk dyes</t>
  </si>
  <si>
    <t>00235</t>
  </si>
  <si>
    <t>Asunta Pl</t>
  </si>
  <si>
    <t>00234</t>
  </si>
  <si>
    <t>tile saw</t>
  </si>
  <si>
    <t>00233</t>
  </si>
  <si>
    <t>00232</t>
  </si>
  <si>
    <t>Kauri Ave</t>
  </si>
  <si>
    <t>edger, whipper snipper, desk. decor mirror, TV.</t>
  </si>
  <si>
    <t>00231</t>
  </si>
  <si>
    <t>Hoop Pine Ct</t>
  </si>
  <si>
    <t>Small car rhino mesh luggage basket / bolt kit. Brand new.  1950s fur stole. Variety of items.</t>
  </si>
  <si>
    <t>00230</t>
  </si>
  <si>
    <t>George St</t>
  </si>
  <si>
    <t>BRDWATER</t>
  </si>
  <si>
    <t>Jewellery spotlights books clothes handbags  plants</t>
  </si>
  <si>
    <t>00229</t>
  </si>
  <si>
    <t>Short St</t>
  </si>
  <si>
    <t>Glass top outdoor table</t>
  </si>
  <si>
    <t>Glass bottles, clothes, double bedhead, set drawers, ornaments</t>
  </si>
  <si>
    <t>00228</t>
  </si>
  <si>
    <t>Lalina Ave</t>
  </si>
  <si>
    <t>Programmable tread mill</t>
  </si>
  <si>
    <t>Tool box, bar fridge</t>
  </si>
  <si>
    <t>00227</t>
  </si>
  <si>
    <t>Winders Pl</t>
  </si>
  <si>
    <t>00226</t>
  </si>
  <si>
    <t>Mooball St</t>
  </si>
  <si>
    <t>HAND MADE LAMPS made in Byron Bay, Antique mirror door off wardrobe renewed</t>
  </si>
  <si>
    <t>Short black leather skirt &amp; short dress skirt(never worn)size S. Both cost over $100 each when new. Vac Food Sealer-new</t>
  </si>
  <si>
    <t>00225</t>
  </si>
  <si>
    <t>Sunnybank Ave</t>
  </si>
  <si>
    <t>Records</t>
  </si>
  <si>
    <t>Records, DVDS, Books</t>
  </si>
  <si>
    <t>00224</t>
  </si>
  <si>
    <t>Royal Ave</t>
  </si>
  <si>
    <t>Guitars, kids toys, kids clothes and womens size 10 clothes</t>
  </si>
  <si>
    <t>Guitars</t>
  </si>
  <si>
    <t>00223</t>
  </si>
  <si>
    <t>Riveria Ave</t>
  </si>
  <si>
    <t>Speakers...garage stuff.</t>
  </si>
  <si>
    <t>00222</t>
  </si>
  <si>
    <t>Breimba St</t>
  </si>
  <si>
    <t>Metal Lathe</t>
  </si>
  <si>
    <t>bric-a-brac</t>
  </si>
  <si>
    <t>00221</t>
  </si>
  <si>
    <t>Palmvale Dr</t>
  </si>
  <si>
    <t>bed head</t>
  </si>
  <si>
    <t>Clothes, small tables, table lamp, juicer, camera bag, beauty case, clothes, tools and much more</t>
  </si>
  <si>
    <t>00220</t>
  </si>
  <si>
    <t>Lakeside Dr</t>
  </si>
  <si>
    <t>many plant and garden items</t>
  </si>
  <si>
    <t>new electric bed with memory foam, babrbecue grill, TV,printer</t>
  </si>
  <si>
    <t>00219</t>
  </si>
  <si>
    <t>Crane St Entrance From Webster Lane</t>
  </si>
  <si>
    <t>General household items and garden tools</t>
  </si>
  <si>
    <t>Lawn edger</t>
  </si>
  <si>
    <t>00218</t>
  </si>
  <si>
    <t>Dean St</t>
  </si>
  <si>
    <t>Old Singer sewing machine</t>
  </si>
  <si>
    <t>Upcycled furniture</t>
  </si>
  <si>
    <t>00217</t>
  </si>
  <si>
    <t>Junction St</t>
  </si>
  <si>
    <t>Vs commodore</t>
  </si>
  <si>
    <t>Rabbits for sale</t>
  </si>
  <si>
    <t>00216</t>
  </si>
  <si>
    <t>Bolding St</t>
  </si>
  <si>
    <t>00215</t>
  </si>
  <si>
    <t>Designer clothing, shoes, jewellery</t>
  </si>
  <si>
    <t>00214</t>
  </si>
  <si>
    <t>Sunrise Bvd</t>
  </si>
  <si>
    <t>Books, homewares, baby clothes</t>
  </si>
  <si>
    <t>00213</t>
  </si>
  <si>
    <t>Kingfisher Pl</t>
  </si>
  <si>
    <t>WATERVIEW HEIGHTS</t>
  </si>
  <si>
    <t>Various items</t>
  </si>
  <si>
    <t>Plants/paintings</t>
  </si>
  <si>
    <t>00212</t>
  </si>
  <si>
    <t>Linen, kitchenware, books, furniture and lots more.</t>
  </si>
  <si>
    <t>00211</t>
  </si>
  <si>
    <t>Groom St</t>
  </si>
  <si>
    <t>00210</t>
  </si>
  <si>
    <t>Baillie St</t>
  </si>
  <si>
    <t>NORTH LISMORE</t>
  </si>
  <si>
    <t>books clothes bricabrac</t>
  </si>
  <si>
    <t>electric guitar case, paintings</t>
  </si>
  <si>
    <t>00209</t>
  </si>
  <si>
    <t>Dragon Dreams - Alstonville Dance Studio</t>
  </si>
  <si>
    <t>2 - 4</t>
  </si>
  <si>
    <t>00208</t>
  </si>
  <si>
    <t>Folding Bikes, BBQs, printers, s/s Postmix Containers, Nite'n'Day, Maco Mule, Oak Barrels, Reinforced GTal Tool Boxes</t>
  </si>
  <si>
    <t>2x Folding Bikes (as new) 200 Litre water containers, cupboards, 13.6L PortaKeg, Camping Tables, Heaps more</t>
  </si>
  <si>
    <t>00207</t>
  </si>
  <si>
    <t>St Kilda Cr</t>
  </si>
  <si>
    <t>ROLLER SPEED SKATES</t>
  </si>
  <si>
    <t>00206</t>
  </si>
  <si>
    <t>Elliott Rd</t>
  </si>
  <si>
    <t>craftwork</t>
  </si>
  <si>
    <t>00205</t>
  </si>
  <si>
    <t>M/bike</t>
  </si>
  <si>
    <t>Clothing, books, handbags, footwear, odd tools, old trunk.</t>
  </si>
  <si>
    <t>00204</t>
  </si>
  <si>
    <t>Mcintyres Lane Off Grafton St</t>
  </si>
  <si>
    <t>00203</t>
  </si>
  <si>
    <t>06</t>
  </si>
  <si>
    <t>Phillip St</t>
  </si>
  <si>
    <t>TV stand</t>
  </si>
  <si>
    <t>00202</t>
  </si>
  <si>
    <t>Peninsula Dr</t>
  </si>
  <si>
    <t>Bikes &amp; Scooters</t>
  </si>
  <si>
    <t>00201</t>
  </si>
  <si>
    <t>113A</t>
  </si>
  <si>
    <t>books, homewares, electronics and miscellaneous</t>
  </si>
  <si>
    <t>00200</t>
  </si>
  <si>
    <t>Banksia Lane</t>
  </si>
  <si>
    <t>Homewares, camping,</t>
  </si>
  <si>
    <t>00199</t>
  </si>
  <si>
    <t>Maclean Community Preschool</t>
  </si>
  <si>
    <t>00198</t>
  </si>
  <si>
    <t>Old china</t>
  </si>
  <si>
    <t>00197</t>
  </si>
  <si>
    <t>Beautiful Floor Rug</t>
  </si>
  <si>
    <t>Surface Pro 3</t>
  </si>
  <si>
    <t>00196</t>
  </si>
  <si>
    <t>Paterson St</t>
  </si>
  <si>
    <t>interior design books, gloss black coffee table, camping gear</t>
  </si>
  <si>
    <t>fold-up bike,upholstery fabric, clothing, bags, shoes, jewellery, plants</t>
  </si>
  <si>
    <t>00195</t>
  </si>
  <si>
    <t>Shearwater Close</t>
  </si>
  <si>
    <t>Out door setting and house hold furniture</t>
  </si>
  <si>
    <t>Kitchen wares  ETC</t>
  </si>
  <si>
    <t>00194</t>
  </si>
  <si>
    <t>Echidna St Koala Bch</t>
  </si>
  <si>
    <t>mirrored 1910 wardrobe</t>
  </si>
  <si>
    <t>quality vintage clothing, furniture, silver and china</t>
  </si>
  <si>
    <t>00193</t>
  </si>
  <si>
    <t>fantastic mega sale, electrical, clothing bedding etc</t>
  </si>
  <si>
    <t>00192</t>
  </si>
  <si>
    <t>Miller St</t>
  </si>
  <si>
    <t>Kids toys and clothes, DVDs books, furniture</t>
  </si>
  <si>
    <t>00191</t>
  </si>
  <si>
    <t>Lakefield Ave</t>
  </si>
  <si>
    <t>Baby Furniture, Baby Clothes, Camping Gear, Toys, Homewares, Bric a Brac</t>
  </si>
  <si>
    <t>Lots of toys going cheap, Camping gear - tents, bbq,  linen, pool</t>
  </si>
  <si>
    <t>00190</t>
  </si>
  <si>
    <t>1-3</t>
  </si>
  <si>
    <t>Fern Pl</t>
  </si>
  <si>
    <t>Dining Setting</t>
  </si>
  <si>
    <t>Fishing and camping gear</t>
  </si>
  <si>
    <t>00189</t>
  </si>
  <si>
    <t>Cowper St</t>
  </si>
  <si>
    <t>Household goods</t>
  </si>
  <si>
    <t>00188</t>
  </si>
  <si>
    <t>Dalley St</t>
  </si>
  <si>
    <t>00187</t>
  </si>
  <si>
    <t>Pagan Ave</t>
  </si>
  <si>
    <t>00186</t>
  </si>
  <si>
    <t>Bank St</t>
  </si>
  <si>
    <t>NORTH WOODBURN</t>
  </si>
  <si>
    <t>Exercise Equipment</t>
  </si>
  <si>
    <t>Tools, spin exercise bike, bric a brac, birdkeeper magazine collection, books</t>
  </si>
  <si>
    <t>00185</t>
  </si>
  <si>
    <t>Jubilee</t>
  </si>
  <si>
    <t>succulents</t>
  </si>
  <si>
    <t>00183</t>
  </si>
  <si>
    <t>Mullumbimbi St</t>
  </si>
  <si>
    <t>00182</t>
  </si>
  <si>
    <t>1/10</t>
  </si>
  <si>
    <t>Dinning table &amp; chairs</t>
  </si>
  <si>
    <t>Outdoor setting, bric a brac, car books, car mirrors &amp; signs</t>
  </si>
  <si>
    <t>00181</t>
  </si>
  <si>
    <t>Cooke Av</t>
  </si>
  <si>
    <t>Tools old tins old collectables etc</t>
  </si>
  <si>
    <t>Jams sewing etc</t>
  </si>
  <si>
    <t>00180</t>
  </si>
  <si>
    <t>Caniaba Rd</t>
  </si>
  <si>
    <t>coffee table</t>
  </si>
  <si>
    <t>stroller</t>
  </si>
  <si>
    <t>00179</t>
  </si>
  <si>
    <t>Mongogarie Rd</t>
  </si>
  <si>
    <t>Sailing Boat</t>
  </si>
  <si>
    <t>Push Bike, BBQ, Portable Wind Up Gramaphone, Edison Records, Fishing boating gear</t>
  </si>
  <si>
    <t>00177</t>
  </si>
  <si>
    <t>3/8</t>
  </si>
  <si>
    <t>Banks Ave</t>
  </si>
  <si>
    <t>Washing machine</t>
  </si>
  <si>
    <t>Dinner set, glass wear clothes</t>
  </si>
  <si>
    <t>00176</t>
  </si>
  <si>
    <t>Oyster Point Rd</t>
  </si>
  <si>
    <t>BANORA POINT EAST</t>
  </si>
  <si>
    <t>00175</t>
  </si>
  <si>
    <t>Antique &amp; collectibles</t>
  </si>
  <si>
    <t>Vintage fuel lamps</t>
  </si>
  <si>
    <t>00174</t>
  </si>
  <si>
    <t>Motorised Scooter, Good quality prams, playpen, heaps of baby goods!!</t>
  </si>
  <si>
    <t>Motorised Scooter</t>
  </si>
  <si>
    <t>00173</t>
  </si>
  <si>
    <t>1/79</t>
  </si>
  <si>
    <t>Avondale Dve</t>
  </si>
  <si>
    <t>bbq</t>
  </si>
  <si>
    <t>doonas, dvd player x2, tools, electrical</t>
  </si>
  <si>
    <t>00172</t>
  </si>
  <si>
    <t>Dorset St</t>
  </si>
  <si>
    <t>Brand new childrens clothing (ex-business stock)</t>
  </si>
  <si>
    <t>00171</t>
  </si>
  <si>
    <t>Rosella Rd</t>
  </si>
  <si>
    <t>New Treadmill still in box.</t>
  </si>
  <si>
    <t>00170</t>
  </si>
  <si>
    <t>all</t>
  </si>
  <si>
    <t>Brew Kits Tools Camping Gear Projector Drop Saw</t>
  </si>
  <si>
    <t>00169</t>
  </si>
  <si>
    <t>1/23</t>
  </si>
  <si>
    <t>Good brand clothing men and women</t>
  </si>
  <si>
    <t>00168</t>
  </si>
  <si>
    <t>1960's Genie Bottle</t>
  </si>
  <si>
    <t>00167</t>
  </si>
  <si>
    <t>Linden Ct</t>
  </si>
  <si>
    <t>00166</t>
  </si>
  <si>
    <t>Harwood</t>
  </si>
  <si>
    <t>Antiques and New household items</t>
  </si>
  <si>
    <t>Fabric, clothes and lots lots more.</t>
  </si>
  <si>
    <t>00165</t>
  </si>
  <si>
    <t>Edinburgh Ct</t>
  </si>
  <si>
    <t>Electric Motor for Dinghy/Eva Kool Fridge-Freezer</t>
  </si>
  <si>
    <t>Bric-a-brack</t>
  </si>
  <si>
    <t>00164</t>
  </si>
  <si>
    <t>2/85,</t>
  </si>
  <si>
    <t>Star trek memorabilia</t>
  </si>
  <si>
    <t>Brand new curtains, tools large rug.</t>
  </si>
  <si>
    <t>00163</t>
  </si>
  <si>
    <t>GRAB A BARGAIN AND HAVE A SCONE FOR MORNINGTEA</t>
  </si>
  <si>
    <t>2-72</t>
  </si>
  <si>
    <t>Swift St</t>
  </si>
  <si>
    <t>Quality  ....no rubbish</t>
  </si>
  <si>
    <t>Morning Tea..........Scones Cake And Slices</t>
  </si>
  <si>
    <t>00162</t>
  </si>
  <si>
    <t>Hampton Ct</t>
  </si>
  <si>
    <t>antique camera/ milk glass globes/ pram/portacot</t>
  </si>
  <si>
    <t>records, old cameras, furniture, women's and girls fashion clothing, homewares, toys</t>
  </si>
  <si>
    <t>00161</t>
  </si>
  <si>
    <t>Highview Cres</t>
  </si>
  <si>
    <t>1950's Teddy Bear</t>
  </si>
  <si>
    <t>00160</t>
  </si>
  <si>
    <t>Ballymore Ct</t>
  </si>
  <si>
    <t>Mixed</t>
  </si>
  <si>
    <t>00159</t>
  </si>
  <si>
    <t>Books, Bric-a-Brac</t>
  </si>
  <si>
    <t>00158</t>
  </si>
  <si>
    <t>Shelley Dr</t>
  </si>
  <si>
    <t>memories</t>
  </si>
  <si>
    <t>Pictures, clothing</t>
  </si>
  <si>
    <t>00157</t>
  </si>
  <si>
    <t>Mccallum Pl</t>
  </si>
  <si>
    <t>DUM DUM</t>
  </si>
  <si>
    <t>Quality women's clothes, sizes 8 - 14</t>
  </si>
  <si>
    <t>00156</t>
  </si>
  <si>
    <t>Pontresina Ave</t>
  </si>
  <si>
    <t>Plants, Toys, Clothes - cheap.cheap.cheap</t>
  </si>
  <si>
    <t>00155</t>
  </si>
  <si>
    <t>Engine St</t>
  </si>
  <si>
    <t>Wooden Blanket Box</t>
  </si>
  <si>
    <t>Clothing, homewares</t>
  </si>
  <si>
    <t>00154</t>
  </si>
  <si>
    <t>Coogera Cct</t>
  </si>
  <si>
    <t>00153</t>
  </si>
  <si>
    <t>Grafton  Gem Club   Inc.</t>
  </si>
  <si>
    <t>Mary St</t>
  </si>
  <si>
    <t>Sewing Machine and Bench top multi cooker.</t>
  </si>
  <si>
    <t>Paintings/artworks, books.</t>
  </si>
  <si>
    <t>00151</t>
  </si>
  <si>
    <t>Cactus and succulents in repurposed cups and other household items</t>
  </si>
  <si>
    <t>00150</t>
  </si>
  <si>
    <t>Harrier Ironbark Rd</t>
  </si>
  <si>
    <t>00149</t>
  </si>
  <si>
    <t>Doyle Pl</t>
  </si>
  <si>
    <t>Tasman Eco Amore Bassinet (latte) with mattress &amp; protector; Baby Bjorn (white); Evenflo ExerSaucer Mega (farm yard)</t>
  </si>
  <si>
    <t>2 Giant bikes; Phillips Avent Electric Steam Steriliser 3-in-1; Jolly Jumper; Fisher-Price Bentwood Rocker</t>
  </si>
  <si>
    <t>00148</t>
  </si>
  <si>
    <t>Burnam Ave</t>
  </si>
  <si>
    <t>Succulant Plants</t>
  </si>
  <si>
    <t>Cookery, Glass wear, Plants, Wooden Boxes,</t>
  </si>
  <si>
    <t>00147</t>
  </si>
  <si>
    <t>2/11</t>
  </si>
  <si>
    <t>Ivory Cres</t>
  </si>
  <si>
    <t>Louge that turns into a bed</t>
  </si>
  <si>
    <t>Books, DVD, CD's Rock N Roll, Frank Sinatra, Dean Martin, Furniture, Clothing</t>
  </si>
  <si>
    <t>00146</t>
  </si>
  <si>
    <t>Gumtree Pl</t>
  </si>
  <si>
    <t>Piano for upcycling</t>
  </si>
  <si>
    <t>Pram, bikes, tv, video game</t>
  </si>
  <si>
    <t>00145</t>
  </si>
  <si>
    <t>Silky Oak Ct</t>
  </si>
  <si>
    <t>Fabrics, household items, bric-a-brac, women's, children's &amp; babies clothing, toys,</t>
  </si>
  <si>
    <t>Rare fabrics</t>
  </si>
  <si>
    <t>00144</t>
  </si>
  <si>
    <t>Buckingham Dr</t>
  </si>
  <si>
    <t>Solid timber entertainment unit</t>
  </si>
  <si>
    <t>Quality children's/women's clothing,shoes,as new suitcase sets,cushions,treadmill,boxed glasses excellent condition</t>
  </si>
  <si>
    <t>00143</t>
  </si>
  <si>
    <t>Garden Ave</t>
  </si>
  <si>
    <t>mosaics</t>
  </si>
  <si>
    <t>the usual eclectic mix</t>
  </si>
  <si>
    <t>00142</t>
  </si>
  <si>
    <t>1 /79</t>
  </si>
  <si>
    <t>Some  Collectables, Jewellery,</t>
  </si>
  <si>
    <t>Pots for plants, ladie's new cosmetics, handbags, shoes some new clothing and shoes.</t>
  </si>
  <si>
    <t>00141</t>
  </si>
  <si>
    <t>Yamaha TTR230, Shed Stuff, 6x4 Highside Trailer</t>
  </si>
  <si>
    <t>Motorcycle gear, 125cc Dirt Bike, 2 x 50cc Mini Bikes, Helmets, Jackets, Gloves, Spare Parts, Bikes and Parts, Man Cave</t>
  </si>
  <si>
    <t>00140</t>
  </si>
  <si>
    <t>Fernleigh Public School</t>
  </si>
  <si>
    <t>toys, books, bedding, shoes, clothes etc</t>
  </si>
  <si>
    <t>00138</t>
  </si>
  <si>
    <t>Mcphee St</t>
  </si>
  <si>
    <t>2 room family tent, hammock with stand, screened shelter</t>
  </si>
  <si>
    <t>screened shelter, golf clubs, ornaments, 2 recliner chairs,</t>
  </si>
  <si>
    <t>00137</t>
  </si>
  <si>
    <t>Barnby</t>
  </si>
  <si>
    <t>00136</t>
  </si>
  <si>
    <t>Magellan St</t>
  </si>
  <si>
    <t>Original Chesty Bond Model ex Gowing Store</t>
  </si>
  <si>
    <t>Thousands of books</t>
  </si>
  <si>
    <t>00135</t>
  </si>
  <si>
    <t>wine press and grape crusher</t>
  </si>
  <si>
    <t>double plough and ripper for tractor</t>
  </si>
  <si>
    <t>00134</t>
  </si>
  <si>
    <t>Russell Rd</t>
  </si>
  <si>
    <t>WOODFORD ISLAND</t>
  </si>
  <si>
    <t>Lots of collectables</t>
  </si>
  <si>
    <t>Furniture, clothes, lots kid's toys,</t>
  </si>
  <si>
    <t>00133</t>
  </si>
  <si>
    <t>Bilambil Rd</t>
  </si>
  <si>
    <t>BILAMBIL</t>
  </si>
  <si>
    <t>Clothing, homewares, educational resources</t>
  </si>
  <si>
    <t>00132</t>
  </si>
  <si>
    <t>Bawden St</t>
  </si>
  <si>
    <t>TUMBULGUM</t>
  </si>
  <si>
    <t>Gym Equipment</t>
  </si>
  <si>
    <t>Clothing, Furniture, Ornaments</t>
  </si>
  <si>
    <t>00131</t>
  </si>
  <si>
    <t>Bronte</t>
  </si>
  <si>
    <t>Treadmill, Tent, Watercooler</t>
  </si>
  <si>
    <t>camping gear, lifejackets gardenmulcher</t>
  </si>
  <si>
    <t>00130</t>
  </si>
  <si>
    <t>7/30</t>
  </si>
  <si>
    <t>Queen St</t>
  </si>
  <si>
    <t>Antique  chest</t>
  </si>
  <si>
    <t>Stamps  camp gear</t>
  </si>
  <si>
    <t>00129</t>
  </si>
  <si>
    <t>Casino Rd</t>
  </si>
  <si>
    <t>Musical organ</t>
  </si>
  <si>
    <t>00128</t>
  </si>
  <si>
    <t>Roderick St</t>
  </si>
  <si>
    <t>Baby items, pretty dresses and lots of girl stuff</t>
  </si>
  <si>
    <t>Kitchen items</t>
  </si>
  <si>
    <t>00127</t>
  </si>
  <si>
    <t>Curlew Ct</t>
  </si>
  <si>
    <t>childrens toys and books</t>
  </si>
  <si>
    <t>00126</t>
  </si>
  <si>
    <t>Elsie St</t>
  </si>
  <si>
    <t>Fishing Gear in great condition</t>
  </si>
  <si>
    <t>Coffee Maker, Electrical Goods, Children Toys &amp; Clothing &amp; Books, Adult Books, Plants</t>
  </si>
  <si>
    <t>00125</t>
  </si>
  <si>
    <t>Riffle Range Rd</t>
  </si>
  <si>
    <t>00124</t>
  </si>
  <si>
    <t>2/3</t>
  </si>
  <si>
    <t>Flower &amp; Landscape Paintings</t>
  </si>
  <si>
    <t>Potted Plants, Clothing</t>
  </si>
  <si>
    <t>00123</t>
  </si>
  <si>
    <t>holden body panels</t>
  </si>
  <si>
    <t>00122</t>
  </si>
  <si>
    <t>Electric massage bed &amp; various massage tables,Spa bath &amp; sporting equipment, Sheep skin rugs and many more items.</t>
  </si>
  <si>
    <t>00121</t>
  </si>
  <si>
    <t>Kiata Pde</t>
  </si>
  <si>
    <t>TWEEDHEADS WEST</t>
  </si>
  <si>
    <t>00120</t>
  </si>
  <si>
    <t>Newcastle Dr</t>
  </si>
  <si>
    <t>Bookcases</t>
  </si>
  <si>
    <t>00119</t>
  </si>
  <si>
    <t>Mibbin Pde</t>
  </si>
  <si>
    <t>00118</t>
  </si>
  <si>
    <t>Cloths, toys,</t>
  </si>
  <si>
    <t>Cloths, kichen goods, cds, colectables,</t>
  </si>
  <si>
    <t>00117</t>
  </si>
  <si>
    <t>Alexandra Prd</t>
  </si>
  <si>
    <t>D/Beds, Lounges, Brick @Brack, push bike, Tools, TVS , lots of staff</t>
  </si>
  <si>
    <t>00116</t>
  </si>
  <si>
    <t>family tent</t>
  </si>
  <si>
    <t>camping gear, gardening books</t>
  </si>
  <si>
    <t>00115</t>
  </si>
  <si>
    <t>Beith St</t>
  </si>
  <si>
    <t>Electric guitar</t>
  </si>
  <si>
    <t>00114</t>
  </si>
  <si>
    <t>Sunset Blvd</t>
  </si>
  <si>
    <t>Heaps of Stuff</t>
  </si>
  <si>
    <t>Soft Toys, dog kennel &amp; bed,luggage books</t>
  </si>
  <si>
    <t>00113</t>
  </si>
  <si>
    <t>Higgins Pl</t>
  </si>
  <si>
    <t>Cherished Teddies. Handbags, clothes</t>
  </si>
  <si>
    <t>00112</t>
  </si>
  <si>
    <t>00111</t>
  </si>
  <si>
    <t>00110</t>
  </si>
  <si>
    <t>Williams St</t>
  </si>
  <si>
    <t>assorted furniture</t>
  </si>
  <si>
    <t>00109</t>
  </si>
  <si>
    <t>2/10</t>
  </si>
  <si>
    <t>Florence St</t>
  </si>
  <si>
    <t>pushbikes, restored furniture</t>
  </si>
  <si>
    <t>soda blaster</t>
  </si>
  <si>
    <t>00108</t>
  </si>
  <si>
    <t>Blair Pl</t>
  </si>
  <si>
    <t>Large fish  tank on stand, wedding marque</t>
  </si>
  <si>
    <t>00107</t>
  </si>
  <si>
    <t>Bric a Brac</t>
  </si>
  <si>
    <t>00106</t>
  </si>
  <si>
    <t>Soorley</t>
  </si>
  <si>
    <t>2 x mobility scooters great condition</t>
  </si>
  <si>
    <t>2 x Queen size Tuppers for beds</t>
  </si>
  <si>
    <t>00105</t>
  </si>
  <si>
    <t>Station St</t>
  </si>
  <si>
    <t>BURRINGBAR</t>
  </si>
  <si>
    <t>Fabrics and tools</t>
  </si>
  <si>
    <t>00104</t>
  </si>
  <si>
    <t>Dymock Dr</t>
  </si>
  <si>
    <t>playstation games, baby items</t>
  </si>
  <si>
    <t>00103</t>
  </si>
  <si>
    <t>00102</t>
  </si>
  <si>
    <t>The Mend &amp; Make Do Crew Op Shop Sale</t>
  </si>
  <si>
    <t>1/46</t>
  </si>
  <si>
    <t>Through St</t>
  </si>
  <si>
    <t>Awesome Craft Materials</t>
  </si>
  <si>
    <t>Art Supplies, Fabric, Mosaic Tiles, Craft Publications</t>
  </si>
  <si>
    <t>00101</t>
  </si>
  <si>
    <t>Faux fur coat</t>
  </si>
  <si>
    <t>00100</t>
  </si>
  <si>
    <t>1/64</t>
  </si>
  <si>
    <t>00099</t>
  </si>
  <si>
    <t>TUCABIA</t>
  </si>
  <si>
    <t>Upright Freezer/Tent</t>
  </si>
  <si>
    <t>Various Stall Holders item</t>
  </si>
  <si>
    <t>00098</t>
  </si>
  <si>
    <t>Bacon</t>
  </si>
  <si>
    <t>00097</t>
  </si>
  <si>
    <t>00096</t>
  </si>
  <si>
    <t>Oxford St</t>
  </si>
  <si>
    <t>Old Rock records</t>
  </si>
  <si>
    <t>Old bottles</t>
  </si>
  <si>
    <t>00095</t>
  </si>
  <si>
    <t>Cakes and Plants</t>
  </si>
  <si>
    <t>19-21</t>
  </si>
  <si>
    <t>Corporation Cct</t>
  </si>
  <si>
    <t>Books and CDs, Onsite Cafe</t>
  </si>
  <si>
    <t>00094</t>
  </si>
  <si>
    <t>00093</t>
  </si>
  <si>
    <t>00092</t>
  </si>
  <si>
    <t>Terranora</t>
  </si>
  <si>
    <t>00091</t>
  </si>
  <si>
    <t>00090</t>
  </si>
  <si>
    <t>Martin St</t>
  </si>
  <si>
    <t>2 seater antique lounge</t>
  </si>
  <si>
    <t>sideboard, 2 bookcases</t>
  </si>
  <si>
    <t>00089</t>
  </si>
  <si>
    <t>kerosene lamps carnival glass vintage glass ware pottery</t>
  </si>
  <si>
    <t>antiques collectibles vintage glass pottery kitchen garden</t>
  </si>
  <si>
    <t>00088</t>
  </si>
  <si>
    <t>Tumbulgum Rd</t>
  </si>
  <si>
    <t>test</t>
  </si>
  <si>
    <t>00086</t>
  </si>
  <si>
    <t>2 Fridges only 1x320 litre top mount $350, 1x120litre bar fridge $100,buy both for $400.</t>
  </si>
  <si>
    <t>00085</t>
  </si>
  <si>
    <t>Rosewood  Ave</t>
  </si>
  <si>
    <t>CABARITA  BEACH</t>
  </si>
  <si>
    <t>Vintage Mercedes Benz (Concourse Winner) 450 SE Sedan</t>
  </si>
  <si>
    <t>kelvinator frost free fridge.Fisher&amp;Paykel Chest freezer,palms</t>
  </si>
  <si>
    <t>00084</t>
  </si>
  <si>
    <t>painting</t>
  </si>
  <si>
    <t>00083</t>
  </si>
  <si>
    <t>Lakeview</t>
  </si>
  <si>
    <t>00082</t>
  </si>
  <si>
    <t>Meerschaum Vale Hall Community Garage Sale</t>
  </si>
  <si>
    <t>Cnr</t>
  </si>
  <si>
    <t>Wardell Rd And Marom Creek Rd</t>
  </si>
  <si>
    <t>MEERSCHAUM VALE</t>
  </si>
  <si>
    <t>DVDs, Computer Stuff, Clothing, Shoes and a Whole Lot More</t>
  </si>
  <si>
    <t>00081</t>
  </si>
  <si>
    <t>Helen St</t>
  </si>
  <si>
    <t>Fridge</t>
  </si>
  <si>
    <t>00079</t>
  </si>
  <si>
    <t>Chest of drawers/duchess with mirror</t>
  </si>
  <si>
    <t>Books, table, china, CD's &amp; Records (mostly country)</t>
  </si>
  <si>
    <t>00078</t>
  </si>
  <si>
    <t>antiques, retro, art , clothing</t>
  </si>
  <si>
    <t>00077</t>
  </si>
  <si>
    <t>Kerrabee Ct</t>
  </si>
  <si>
    <t>Brand new bath</t>
  </si>
  <si>
    <t>dressmaking fabric</t>
  </si>
  <si>
    <t>00076</t>
  </si>
  <si>
    <t>Phil n Ted Pram, filing cabinets, camping gear, brand new billy cart, small fish tank stand.</t>
  </si>
  <si>
    <t>00075</t>
  </si>
  <si>
    <t>00074</t>
  </si>
  <si>
    <t>Oakland Ave</t>
  </si>
  <si>
    <t>Craft item's</t>
  </si>
  <si>
    <t>00073</t>
  </si>
  <si>
    <t>Yamba St</t>
  </si>
  <si>
    <t>BBQ</t>
  </si>
  <si>
    <t>00072</t>
  </si>
  <si>
    <t>Fernvale Rd</t>
  </si>
  <si>
    <t>FERNVALE</t>
  </si>
  <si>
    <t>Pottery Dinner Set 8 piece.</t>
  </si>
  <si>
    <t>Dining Table, Foldup Bed, Magazine Rack.</t>
  </si>
  <si>
    <t>00071</t>
  </si>
  <si>
    <t>Panorama Dr</t>
  </si>
  <si>
    <t>Box Trailer, Collectables, Tools and Toys</t>
  </si>
  <si>
    <t>Monster High Doll collection</t>
  </si>
  <si>
    <t>00070</t>
  </si>
  <si>
    <t>Rosnay Ct</t>
  </si>
  <si>
    <t>antique china, silverware,</t>
  </si>
  <si>
    <t>pictures</t>
  </si>
  <si>
    <t>00069</t>
  </si>
  <si>
    <t>Coopers Shoot Rd</t>
  </si>
  <si>
    <t>COOPERS SHOOT</t>
  </si>
  <si>
    <t>00068</t>
  </si>
  <si>
    <t>BYRON BAY NSW</t>
  </si>
  <si>
    <t>3-way camping fridge new in box</t>
  </si>
  <si>
    <t>New kitchen sink, bric a brac,</t>
  </si>
  <si>
    <t>00067</t>
  </si>
  <si>
    <t>Cathcart St</t>
  </si>
  <si>
    <t>vintage clothing</t>
  </si>
  <si>
    <t>00066</t>
  </si>
  <si>
    <t>Firestone Dr</t>
  </si>
  <si>
    <t>Baby goods, homewares</t>
  </si>
  <si>
    <t>00065</t>
  </si>
  <si>
    <t>Ti Tree Ave</t>
  </si>
  <si>
    <t>Small Frangipani cuttings</t>
  </si>
  <si>
    <t>Kids toys</t>
  </si>
  <si>
    <t>00064</t>
  </si>
  <si>
    <t>Waratah St</t>
  </si>
  <si>
    <t>None</t>
  </si>
  <si>
    <t>00063</t>
  </si>
  <si>
    <t>Isabella Dr</t>
  </si>
  <si>
    <t>Antique cupboard</t>
  </si>
  <si>
    <t>Fridge freezer lounge single bed cupboards toys furniture BBQ drum kit Amp</t>
  </si>
  <si>
    <t>00062</t>
  </si>
  <si>
    <t>SOUTH TWEED HEADS</t>
  </si>
  <si>
    <t>Trailer</t>
  </si>
  <si>
    <t>00061</t>
  </si>
  <si>
    <t>Maple Pl</t>
  </si>
  <si>
    <t>TRAILER</t>
  </si>
  <si>
    <t>COMPLETE CLEAN OUT OF ALL SHEDS</t>
  </si>
  <si>
    <t>00060</t>
  </si>
  <si>
    <t>Eastside Pl</t>
  </si>
  <si>
    <t>Camping equipment, power tools, collectables, household items</t>
  </si>
  <si>
    <t>Camping equipment</t>
  </si>
  <si>
    <t>00058</t>
  </si>
  <si>
    <t>Teven St</t>
  </si>
  <si>
    <t>Screen printing equipment</t>
  </si>
  <si>
    <t>Lightbox, surfboards</t>
  </si>
  <si>
    <t>00057</t>
  </si>
  <si>
    <t>Tea Tree Pl</t>
  </si>
  <si>
    <t>Wall oven and cooktop</t>
  </si>
  <si>
    <t>00056</t>
  </si>
  <si>
    <t>Cawongla Rd</t>
  </si>
  <si>
    <t>LARNOOK</t>
  </si>
  <si>
    <t>00055</t>
  </si>
  <si>
    <t>Bowtell   Ave</t>
  </si>
  <si>
    <t>00054</t>
  </si>
  <si>
    <t>Burns St</t>
  </si>
  <si>
    <t>triang-hornby boxed train set, retro items,antique glassware,soda syphones,wedgewood,murano etc</t>
  </si>
  <si>
    <t>nintendo hand-held games</t>
  </si>
  <si>
    <t>00053</t>
  </si>
  <si>
    <t>Marine Pde</t>
  </si>
  <si>
    <t>Black Dolls, Betty Boop, Poodles, Model Cars</t>
  </si>
  <si>
    <t>00052</t>
  </si>
  <si>
    <t>Whispering Valley Dr</t>
  </si>
  <si>
    <t>Portable Camping Fridge/Freezer Dual control 80L capacity ACDC $500.00</t>
  </si>
  <si>
    <t>Morris 1100 Motor x 2</t>
  </si>
  <si>
    <t>00051</t>
  </si>
  <si>
    <t>Narooma Dr</t>
  </si>
  <si>
    <t>Tools ,boat, surf skis</t>
  </si>
  <si>
    <t>Tools, boat</t>
  </si>
  <si>
    <t>00050</t>
  </si>
  <si>
    <t>Fawcett St</t>
  </si>
  <si>
    <t>00049</t>
  </si>
  <si>
    <t>Tectona Pl</t>
  </si>
  <si>
    <t>Children's clothes/toys</t>
  </si>
  <si>
    <t>00048</t>
  </si>
  <si>
    <t>Edward Ave</t>
  </si>
  <si>
    <t>Whipper snipper</t>
  </si>
  <si>
    <t>New mini oven</t>
  </si>
  <si>
    <t>00047</t>
  </si>
  <si>
    <t>Tongarradve</t>
  </si>
  <si>
    <t>OCEANSHORES</t>
  </si>
  <si>
    <t>00046</t>
  </si>
  <si>
    <t>poster frames</t>
  </si>
  <si>
    <t>Suitcases, bedside tables, plants, jewellery, clothes</t>
  </si>
  <si>
    <t>00045</t>
  </si>
  <si>
    <t>Toormina</t>
  </si>
  <si>
    <t>bits and pieces</t>
  </si>
  <si>
    <t>00044</t>
  </si>
  <si>
    <t>Kitchen stuff</t>
  </si>
  <si>
    <t>Buttons</t>
  </si>
  <si>
    <t>00043</t>
  </si>
  <si>
    <t>Merion Ct</t>
  </si>
  <si>
    <t>Clothes, shoes, jewellery, homewares including cushions and rugs, books, CD's</t>
  </si>
  <si>
    <t>00042</t>
  </si>
  <si>
    <t>Corner Proudfoots Lane And Brisbane St</t>
  </si>
  <si>
    <t>Find us behind Keith Coffee and Barber in Proudfoots Lane (look for the balloons). Fab vintage and antique collectables.</t>
  </si>
  <si>
    <t>9am-2pm. Vintage fabric, tea towels, retro clothing, funky bric a brac, art and furniture.</t>
  </si>
  <si>
    <t>00041</t>
  </si>
  <si>
    <t>3 24</t>
  </si>
  <si>
    <t>Leather recliner chair</t>
  </si>
  <si>
    <t>00040</t>
  </si>
  <si>
    <t>100% pure essential oils</t>
  </si>
  <si>
    <t>Pure honey avocados and banana</t>
  </si>
  <si>
    <t>00039</t>
  </si>
  <si>
    <t>Sutherland St</t>
  </si>
  <si>
    <t>Custom Built Adirondack Chairs</t>
  </si>
  <si>
    <t>Custom made recycled timber Furniture, Homewares and Signs</t>
  </si>
  <si>
    <t>00038</t>
  </si>
  <si>
    <t>Gainsborough Way</t>
  </si>
  <si>
    <t>Antique Vases</t>
  </si>
  <si>
    <t>Rechargeable electric pruner, books, CDs, DVDs</t>
  </si>
  <si>
    <t>00037</t>
  </si>
  <si>
    <t>Matong Dr</t>
  </si>
  <si>
    <t>Lots of goodies</t>
  </si>
  <si>
    <t>00036</t>
  </si>
  <si>
    <t>Daydream Ave</t>
  </si>
  <si>
    <t>Mixed Ornaments</t>
  </si>
  <si>
    <t>Mixture of items</t>
  </si>
  <si>
    <t>00035</t>
  </si>
  <si>
    <t>Evans St</t>
  </si>
  <si>
    <t>Furniture, Collectables, Bric-a-Brac</t>
  </si>
  <si>
    <t>00034</t>
  </si>
  <si>
    <t>Citriadora Dr</t>
  </si>
  <si>
    <t>Unique and Individual Designer clothing and accessories</t>
  </si>
  <si>
    <t>Fabulous shoes</t>
  </si>
  <si>
    <t>00033</t>
  </si>
  <si>
    <t>tent</t>
  </si>
  <si>
    <t>Camping @ Fishing</t>
  </si>
  <si>
    <t>00032</t>
  </si>
  <si>
    <t>Grant St</t>
  </si>
  <si>
    <t>household</t>
  </si>
  <si>
    <t>Jewellery, CD's, DVD's, books, craft</t>
  </si>
  <si>
    <t>00031</t>
  </si>
  <si>
    <t>00030</t>
  </si>
  <si>
    <t>Kent St</t>
  </si>
  <si>
    <t>Books, homewares, collectables.</t>
  </si>
  <si>
    <t>00029</t>
  </si>
  <si>
    <t>Victoria Ave</t>
  </si>
  <si>
    <t>Collectable china</t>
  </si>
  <si>
    <t>Bandsaw, true-crime books, collectable bottles, Captain's chair,foldable cane rocking chair,Halloween items,model ships</t>
  </si>
  <si>
    <t>00028</t>
  </si>
  <si>
    <t>Honeymyrtle Dr</t>
  </si>
  <si>
    <t>Bits &amp; pieces</t>
  </si>
  <si>
    <t>00027</t>
  </si>
  <si>
    <t>Carroll Ave</t>
  </si>
  <si>
    <t>00026</t>
  </si>
  <si>
    <t>5B</t>
  </si>
  <si>
    <t>Woram Pl</t>
  </si>
  <si>
    <t>Books, Womens Cloths, Giftware, Jewellery</t>
  </si>
  <si>
    <t>Womens Clothes, Jewellery</t>
  </si>
  <si>
    <t>00025</t>
  </si>
  <si>
    <t>Foster St</t>
  </si>
  <si>
    <t>Fridge &amp; Freezer, Kids Stuff, Canoe 14ft, Ladies Clothes, Music &amp; Bric a Brac</t>
  </si>
  <si>
    <t>Records-CDs-1950s Mags-Sunglasses D&amp;C Mooks Oroton DKNY</t>
  </si>
  <si>
    <t>00024</t>
  </si>
  <si>
    <t>Roseland Ave</t>
  </si>
  <si>
    <t>assorted items</t>
  </si>
  <si>
    <t>00023</t>
  </si>
  <si>
    <t>Silvergull Dr</t>
  </si>
  <si>
    <t>ryobi petrol line trimmer</t>
  </si>
  <si>
    <t>electronics,tools ,fasteners garden items</t>
  </si>
  <si>
    <t>00021</t>
  </si>
  <si>
    <t>All sorts of stuff ... household, tools, clothes.</t>
  </si>
  <si>
    <t>00020</t>
  </si>
  <si>
    <t>1a</t>
  </si>
  <si>
    <t>Train St</t>
  </si>
  <si>
    <t>wrought iron and marble wine cabinette</t>
  </si>
  <si>
    <t>womens fashion clothes, new stock and second hand</t>
  </si>
  <si>
    <t>00019</t>
  </si>
  <si>
    <t>Redgate Rd</t>
  </si>
  <si>
    <t>Sheet music , vynals , collectables</t>
  </si>
  <si>
    <t>00018</t>
  </si>
  <si>
    <t>00017</t>
  </si>
  <si>
    <t>Dining table and chairs</t>
  </si>
  <si>
    <t>00016</t>
  </si>
  <si>
    <t>BANORA  POINT.</t>
  </si>
  <si>
    <t>PLANTS.</t>
  </si>
  <si>
    <t>VINAL RECORDS.ORCHIDS.GEM STONES.PLANTS.</t>
  </si>
  <si>
    <t>00015</t>
  </si>
  <si>
    <t>antique cabinet</t>
  </si>
  <si>
    <t>tools, furniture, books, records, cds.</t>
  </si>
  <si>
    <t>00014</t>
  </si>
  <si>
    <t>DVDs Records Books Bric a Brac</t>
  </si>
  <si>
    <t>00013</t>
  </si>
  <si>
    <t>Banksia St</t>
  </si>
  <si>
    <t>DVD ,toys ,books ,</t>
  </si>
  <si>
    <t>00012</t>
  </si>
  <si>
    <t>Borton Rd</t>
  </si>
  <si>
    <t>TULLERA</t>
  </si>
  <si>
    <t>American Depression Glass</t>
  </si>
  <si>
    <t>Bric a brac, books, craft materials, CD/DVD</t>
  </si>
  <si>
    <t>00011</t>
  </si>
  <si>
    <t>Prince St</t>
  </si>
  <si>
    <t>00010</t>
  </si>
  <si>
    <t>Under $100</t>
  </si>
  <si>
    <t>00009</t>
  </si>
  <si>
    <t>Parry St</t>
  </si>
  <si>
    <t>a lleather lounge</t>
  </si>
  <si>
    <t>Beautiful antique furniture. Excellent condition.  I have moved into a unit and can longer fit all my furniture</t>
  </si>
  <si>
    <t>00008</t>
  </si>
  <si>
    <t>Sneaths Rd</t>
  </si>
  <si>
    <t>Surfboard books jewellery clothes racks</t>
  </si>
  <si>
    <t>00007</t>
  </si>
  <si>
    <t>Bolwarra Pl</t>
  </si>
  <si>
    <t>holden rodeo nudge bar, air compressor 2.5HP</t>
  </si>
  <si>
    <t>tools, clothing, other assorted items</t>
  </si>
  <si>
    <t>00006</t>
  </si>
  <si>
    <t>Terania St</t>
  </si>
  <si>
    <t>Petrol powered blower</t>
  </si>
  <si>
    <t>00005</t>
  </si>
  <si>
    <t>Antique wardrobes, cameras, vintage clothing</t>
  </si>
  <si>
    <t>Christmas ropes and lights</t>
  </si>
  <si>
    <t>00003</t>
  </si>
  <si>
    <t>Nielson St</t>
  </si>
  <si>
    <t>00002</t>
  </si>
  <si>
    <t>00001</t>
  </si>
  <si>
    <t>Katya Ct</t>
  </si>
  <si>
    <t>General household items, clothes, books</t>
  </si>
  <si>
    <t>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</si>
</sst>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0"/>
      <color indexed="12"/>
      <name val="Gill Sans MT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1" applyAlignment="1" applyProtection="1">
      <alignment vertical="center" wrapText="1"/>
    </xf>
    <xf numFmtId="0" fontId="0" fillId="0" borderId="0" xfId="0" quotePrefix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F5C4-B22C-418F-B078-F1689E8A9229}">
  <dimension ref="A1:N707"/>
  <sheetViews>
    <sheetView tabSelected="1" topLeftCell="A136" workbookViewId="0">
      <selection activeCell="E3" sqref="E3"/>
    </sheetView>
  </sheetViews>
  <sheetFormatPr defaultColWidth="15.42578125" defaultRowHeight="15" x14ac:dyDescent="0.25"/>
  <cols>
    <col min="1" max="1" width="9.140625" style="4" customWidth="1"/>
    <col min="2" max="2" width="15.42578125" style="4"/>
    <col min="3" max="3" width="13.5703125" style="4" customWidth="1"/>
    <col min="4" max="4" width="18.5703125" style="4" customWidth="1"/>
    <col min="5" max="5" width="18.7109375" style="4" customWidth="1"/>
    <col min="6" max="6" width="9.5703125" style="5" customWidth="1"/>
    <col min="7" max="7" width="18.7109375" style="4" customWidth="1"/>
    <col min="8" max="8" width="21.140625" style="4" customWidth="1"/>
    <col min="9" max="9" width="35.140625" style="4" customWidth="1"/>
    <col min="10" max="10" width="21.28515625" style="4" customWidth="1"/>
    <col min="11" max="11" width="27.140625" style="4" customWidth="1"/>
    <col min="12" max="12" width="44.7109375" style="4" customWidth="1"/>
    <col min="13" max="13" width="17.7109375" style="4" customWidth="1"/>
    <col min="14" max="16384" width="15.42578125" style="4"/>
  </cols>
  <sheetData>
    <row r="1" spans="1:14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2493</v>
      </c>
      <c r="N1" s="3"/>
    </row>
    <row r="2" spans="1:14" ht="75" x14ac:dyDescent="0.25">
      <c r="A2" s="4" t="s">
        <v>2490</v>
      </c>
      <c r="B2" s="4" t="s">
        <v>82</v>
      </c>
      <c r="C2" s="4" t="s">
        <v>14</v>
      </c>
      <c r="D2" s="4" t="s">
        <v>15</v>
      </c>
      <c r="F2" s="5">
        <v>2</v>
      </c>
      <c r="G2" s="4" t="s">
        <v>2491</v>
      </c>
      <c r="H2" s="4" t="s">
        <v>154</v>
      </c>
      <c r="J2" s="4" t="s">
        <v>49</v>
      </c>
      <c r="K2" s="4" t="s">
        <v>66</v>
      </c>
      <c r="L2" s="4" t="s">
        <v>2492</v>
      </c>
      <c r="M2" s="6" t="str">
        <f>HYPERLINK("http://maps.google.com/maps?f=q&amp;hl=en&amp;geocode=&amp;q=-28.52587,153.5441899")</f>
        <v>http://maps.google.com/maps?f=q&amp;hl=en&amp;geocode=&amp;q=-28.52587,153.5441899</v>
      </c>
    </row>
    <row r="3" spans="1:14" ht="60" x14ac:dyDescent="0.25">
      <c r="A3" s="4" t="s">
        <v>2489</v>
      </c>
      <c r="B3" s="4" t="s">
        <v>34</v>
      </c>
      <c r="C3" s="4" t="s">
        <v>14</v>
      </c>
      <c r="D3" s="4" t="s">
        <v>15</v>
      </c>
      <c r="F3" s="5">
        <v>77</v>
      </c>
      <c r="G3" s="4" t="s">
        <v>2482</v>
      </c>
      <c r="H3" s="4" t="s">
        <v>1847</v>
      </c>
      <c r="I3" s="4" t="s">
        <v>210</v>
      </c>
      <c r="J3" s="4" t="s">
        <v>117</v>
      </c>
      <c r="K3" s="4" t="s">
        <v>19</v>
      </c>
      <c r="M3" s="6" t="str">
        <f>HYPERLINK("http://maps.google.com/maps?f=q&amp;hl=en&amp;geocode=&amp;q=-28.802,153.27263")</f>
        <v>http://maps.google.com/maps?f=q&amp;hl=en&amp;geocode=&amp;q=-28.802,153.27263</v>
      </c>
    </row>
    <row r="4" spans="1:14" ht="60" x14ac:dyDescent="0.25">
      <c r="A4" s="4" t="s">
        <v>2487</v>
      </c>
      <c r="B4" s="4" t="s">
        <v>34</v>
      </c>
      <c r="C4" s="4" t="s">
        <v>14</v>
      </c>
      <c r="D4" s="4" t="s">
        <v>15</v>
      </c>
      <c r="F4" s="5">
        <v>40</v>
      </c>
      <c r="G4" s="4" t="s">
        <v>2488</v>
      </c>
      <c r="H4" s="4" t="s">
        <v>132</v>
      </c>
      <c r="J4" s="4" t="s">
        <v>44</v>
      </c>
      <c r="K4" s="4" t="s">
        <v>19</v>
      </c>
      <c r="L4" s="4" t="s">
        <v>111</v>
      </c>
      <c r="M4" s="6" t="str">
        <f>HYPERLINK("http://maps.google.com/maps?f=q&amp;hl=en&amp;geocode=&amp;q=-28.82011,153.29463")</f>
        <v>http://maps.google.com/maps?f=q&amp;hl=en&amp;geocode=&amp;q=-28.82011,153.29463</v>
      </c>
    </row>
    <row r="5" spans="1:14" ht="60" x14ac:dyDescent="0.25">
      <c r="A5" s="4" t="s">
        <v>2484</v>
      </c>
      <c r="B5" s="4" t="s">
        <v>22</v>
      </c>
      <c r="C5" s="4" t="s">
        <v>14</v>
      </c>
      <c r="D5" s="4" t="s">
        <v>15</v>
      </c>
      <c r="F5" s="5">
        <v>4</v>
      </c>
      <c r="G5" s="4" t="s">
        <v>865</v>
      </c>
      <c r="H5" s="4" t="s">
        <v>110</v>
      </c>
      <c r="I5" s="4" t="s">
        <v>2485</v>
      </c>
      <c r="J5" s="4" t="s">
        <v>19</v>
      </c>
      <c r="K5" s="4" t="s">
        <v>31</v>
      </c>
      <c r="L5" s="4" t="s">
        <v>2486</v>
      </c>
      <c r="M5" s="6" t="str">
        <f>HYPERLINK("http://maps.google.com/maps?f=q&amp;hl=en&amp;geocode=&amp;q=-28.33452,153.36649")</f>
        <v>http://maps.google.com/maps?f=q&amp;hl=en&amp;geocode=&amp;q=-28.33452,153.36649</v>
      </c>
    </row>
    <row r="6" spans="1:14" ht="60" x14ac:dyDescent="0.25">
      <c r="A6" s="4" t="s">
        <v>2481</v>
      </c>
      <c r="B6" s="4" t="s">
        <v>34</v>
      </c>
      <c r="C6" s="4" t="s">
        <v>14</v>
      </c>
      <c r="D6" s="4" t="s">
        <v>15</v>
      </c>
      <c r="F6" s="5">
        <v>124</v>
      </c>
      <c r="G6" s="4" t="s">
        <v>2482</v>
      </c>
      <c r="H6" s="4" t="s">
        <v>1847</v>
      </c>
      <c r="J6" s="4" t="s">
        <v>25</v>
      </c>
      <c r="K6" s="4" t="s">
        <v>19</v>
      </c>
      <c r="L6" s="4" t="s">
        <v>2483</v>
      </c>
      <c r="M6" s="6" t="str">
        <f>HYPERLINK("http://maps.google.com/maps?f=q&amp;hl=en&amp;geocode=&amp;q=-28.80212,153.26864")</f>
        <v>http://maps.google.com/maps?f=q&amp;hl=en&amp;geocode=&amp;q=-28.80212,153.26864</v>
      </c>
    </row>
    <row r="7" spans="1:14" ht="60" x14ac:dyDescent="0.25">
      <c r="A7" s="4" t="s">
        <v>2477</v>
      </c>
      <c r="B7" s="4" t="s">
        <v>22</v>
      </c>
      <c r="C7" s="4" t="s">
        <v>70</v>
      </c>
      <c r="D7" s="4" t="s">
        <v>15</v>
      </c>
      <c r="F7" s="5">
        <v>8</v>
      </c>
      <c r="G7" s="4" t="s">
        <v>2478</v>
      </c>
      <c r="H7" s="4" t="s">
        <v>231</v>
      </c>
      <c r="I7" s="4" t="s">
        <v>2479</v>
      </c>
      <c r="J7" s="4" t="s">
        <v>25</v>
      </c>
      <c r="K7" s="4" t="s">
        <v>145</v>
      </c>
      <c r="L7" s="4" t="s">
        <v>2480</v>
      </c>
      <c r="M7" s="6" t="str">
        <f>HYPERLINK("http://maps.google.com/maps?f=q&amp;hl=en&amp;geocode=&amp;q=-28.19678,153.497")</f>
        <v>http://maps.google.com/maps?f=q&amp;hl=en&amp;geocode=&amp;q=-28.19678,153.497</v>
      </c>
    </row>
    <row r="8" spans="1:14" ht="60" x14ac:dyDescent="0.25">
      <c r="A8" s="4" t="s">
        <v>2474</v>
      </c>
      <c r="B8" s="4" t="s">
        <v>34</v>
      </c>
      <c r="C8" s="4" t="s">
        <v>70</v>
      </c>
      <c r="D8" s="4" t="s">
        <v>15</v>
      </c>
      <c r="F8" s="5">
        <v>189</v>
      </c>
      <c r="G8" s="4" t="s">
        <v>2475</v>
      </c>
      <c r="H8" s="4" t="s">
        <v>93</v>
      </c>
      <c r="I8" s="4" t="s">
        <v>117</v>
      </c>
      <c r="J8" s="4" t="s">
        <v>18</v>
      </c>
      <c r="K8" s="4" t="s">
        <v>49</v>
      </c>
      <c r="L8" s="4" t="s">
        <v>2476</v>
      </c>
      <c r="M8" s="6" t="str">
        <f>HYPERLINK("http://maps.google.com/maps?f=q&amp;hl=en&amp;geocode=&amp;q=-28.80703,153.42285")</f>
        <v>http://maps.google.com/maps?f=q&amp;hl=en&amp;geocode=&amp;q=-28.80703,153.42285</v>
      </c>
    </row>
    <row r="9" spans="1:14" ht="60" x14ac:dyDescent="0.25">
      <c r="A9" s="4" t="s">
        <v>2470</v>
      </c>
      <c r="B9" s="4" t="s">
        <v>22</v>
      </c>
      <c r="C9" s="4" t="s">
        <v>70</v>
      </c>
      <c r="D9" s="4" t="s">
        <v>15</v>
      </c>
      <c r="F9" s="5">
        <v>10</v>
      </c>
      <c r="G9" s="4" t="s">
        <v>2471</v>
      </c>
      <c r="H9" s="4" t="s">
        <v>55</v>
      </c>
      <c r="I9" s="4" t="s">
        <v>2472</v>
      </c>
      <c r="J9" s="4" t="s">
        <v>31</v>
      </c>
      <c r="K9" s="4" t="s">
        <v>145</v>
      </c>
      <c r="L9" s="4" t="s">
        <v>2473</v>
      </c>
      <c r="M9" s="6" t="str">
        <f>HYPERLINK("http://maps.google.com/maps?f=q&amp;hl=en&amp;geocode=&amp;q=-28.19358,153.53958")</f>
        <v>http://maps.google.com/maps?f=q&amp;hl=en&amp;geocode=&amp;q=-28.19358,153.53958</v>
      </c>
    </row>
    <row r="10" spans="1:14" ht="60" x14ac:dyDescent="0.25">
      <c r="A10" s="4" t="s">
        <v>2468</v>
      </c>
      <c r="B10" s="4" t="s">
        <v>34</v>
      </c>
      <c r="C10" s="4" t="s">
        <v>14</v>
      </c>
      <c r="D10" s="4" t="s">
        <v>136</v>
      </c>
      <c r="E10" s="4" t="s">
        <v>137</v>
      </c>
      <c r="F10" s="5">
        <v>15</v>
      </c>
      <c r="G10" s="4" t="s">
        <v>138</v>
      </c>
      <c r="H10" s="4" t="s">
        <v>139</v>
      </c>
      <c r="I10" s="4" t="s">
        <v>2469</v>
      </c>
      <c r="J10" s="4" t="s">
        <v>18</v>
      </c>
      <c r="K10" s="4" t="s">
        <v>25</v>
      </c>
      <c r="M10" s="6" t="str">
        <f>HYPERLINK("http://maps.google.com/maps?f=q&amp;hl=en&amp;geocode=&amp;q=-28.68311,153.32099")</f>
        <v>http://maps.google.com/maps?f=q&amp;hl=en&amp;geocode=&amp;q=-28.68311,153.32099</v>
      </c>
    </row>
    <row r="11" spans="1:14" ht="60" x14ac:dyDescent="0.25">
      <c r="A11" s="4" t="s">
        <v>2466</v>
      </c>
      <c r="B11" s="4" t="s">
        <v>82</v>
      </c>
      <c r="C11" s="4" t="s">
        <v>14</v>
      </c>
      <c r="D11" s="4" t="s">
        <v>41</v>
      </c>
      <c r="F11" s="5">
        <v>39</v>
      </c>
      <c r="G11" s="4" t="s">
        <v>2467</v>
      </c>
      <c r="H11" s="4" t="s">
        <v>194</v>
      </c>
      <c r="I11" s="4" t="s">
        <v>337</v>
      </c>
      <c r="J11" s="4" t="s">
        <v>31</v>
      </c>
      <c r="L11" s="4" t="s">
        <v>1542</v>
      </c>
      <c r="M11" s="6" t="str">
        <f>HYPERLINK("http://maps.google.com/maps?f=q&amp;hl=en&amp;geocode=&amp;q=-28.55365,153.50383")</f>
        <v>http://maps.google.com/maps?f=q&amp;hl=en&amp;geocode=&amp;q=-28.55365,153.50383</v>
      </c>
    </row>
    <row r="12" spans="1:14" ht="60" x14ac:dyDescent="0.25">
      <c r="A12" s="4" t="s">
        <v>2461</v>
      </c>
      <c r="B12" s="4" t="s">
        <v>34</v>
      </c>
      <c r="C12" s="4" t="s">
        <v>70</v>
      </c>
      <c r="D12" s="4" t="s">
        <v>41</v>
      </c>
      <c r="F12" s="5">
        <v>160</v>
      </c>
      <c r="G12" s="4" t="s">
        <v>2462</v>
      </c>
      <c r="H12" s="4" t="s">
        <v>2463</v>
      </c>
      <c r="I12" s="4" t="s">
        <v>2464</v>
      </c>
      <c r="J12" s="4" t="s">
        <v>38</v>
      </c>
      <c r="K12" s="4" t="s">
        <v>31</v>
      </c>
      <c r="L12" s="4" t="s">
        <v>2465</v>
      </c>
      <c r="M12" s="6" t="str">
        <f>HYPERLINK("http://maps.google.com/maps?f=q&amp;hl=en&amp;geocode=&amp;q=-28.74374,153.28566")</f>
        <v>http://maps.google.com/maps?f=q&amp;hl=en&amp;geocode=&amp;q=-28.74374,153.28566</v>
      </c>
    </row>
    <row r="13" spans="1:14" ht="60" x14ac:dyDescent="0.25">
      <c r="A13" s="4" t="s">
        <v>2458</v>
      </c>
      <c r="B13" s="4" t="s">
        <v>13</v>
      </c>
      <c r="C13" s="4" t="s">
        <v>14</v>
      </c>
      <c r="D13" s="4" t="s">
        <v>15</v>
      </c>
      <c r="F13" s="5">
        <v>22</v>
      </c>
      <c r="G13" s="4" t="s">
        <v>2459</v>
      </c>
      <c r="H13" s="4" t="s">
        <v>17</v>
      </c>
      <c r="J13" s="4" t="s">
        <v>19</v>
      </c>
      <c r="K13" s="4" t="s">
        <v>18</v>
      </c>
      <c r="L13" s="4" t="s">
        <v>2460</v>
      </c>
      <c r="M13" s="6" t="str">
        <f>HYPERLINK("http://maps.google.com/maps?f=q&amp;hl=en&amp;geocode=&amp;q=-29.10811,153.42496")</f>
        <v>http://maps.google.com/maps?f=q&amp;hl=en&amp;geocode=&amp;q=-29.10811,153.42496</v>
      </c>
    </row>
    <row r="14" spans="1:14" ht="60" x14ac:dyDescent="0.25">
      <c r="A14" s="4" t="s">
        <v>2456</v>
      </c>
      <c r="B14" s="4" t="s">
        <v>22</v>
      </c>
      <c r="C14" s="4" t="s">
        <v>70</v>
      </c>
      <c r="D14" s="4" t="s">
        <v>41</v>
      </c>
      <c r="F14" s="5">
        <v>57</v>
      </c>
      <c r="G14" s="4" t="s">
        <v>588</v>
      </c>
      <c r="H14" s="4" t="s">
        <v>165</v>
      </c>
      <c r="I14" s="4" t="s">
        <v>57</v>
      </c>
      <c r="J14" s="4" t="s">
        <v>492</v>
      </c>
      <c r="K14" s="4" t="s">
        <v>57</v>
      </c>
      <c r="L14" s="4" t="s">
        <v>2457</v>
      </c>
      <c r="M14" s="6" t="str">
        <f>HYPERLINK("http://maps.google.com/maps?f=q&amp;hl=en&amp;geocode=&amp;q=-28.2345,153.54085")</f>
        <v>http://maps.google.com/maps?f=q&amp;hl=en&amp;geocode=&amp;q=-28.2345,153.54085</v>
      </c>
    </row>
    <row r="15" spans="1:14" ht="60" x14ac:dyDescent="0.25">
      <c r="A15" s="4" t="s">
        <v>2453</v>
      </c>
      <c r="B15" s="4" t="s">
        <v>34</v>
      </c>
      <c r="C15" s="4" t="s">
        <v>70</v>
      </c>
      <c r="D15" s="4" t="s">
        <v>15</v>
      </c>
      <c r="F15" s="5">
        <v>122</v>
      </c>
      <c r="G15" s="4" t="s">
        <v>777</v>
      </c>
      <c r="H15" s="4" t="s">
        <v>245</v>
      </c>
      <c r="I15" s="4" t="s">
        <v>2454</v>
      </c>
      <c r="J15" s="4" t="s">
        <v>38</v>
      </c>
      <c r="K15" s="4" t="s">
        <v>19</v>
      </c>
      <c r="L15" s="4" t="s">
        <v>2455</v>
      </c>
      <c r="M15" s="6" t="str">
        <f>HYPERLINK("http://maps.google.com/maps?f=q&amp;hl=en&amp;geocode=&amp;q=-28.80801,153.28766")</f>
        <v>http://maps.google.com/maps?f=q&amp;hl=en&amp;geocode=&amp;q=-28.80801,153.28766</v>
      </c>
    </row>
    <row r="16" spans="1:14" ht="60" x14ac:dyDescent="0.25">
      <c r="A16" s="4" t="s">
        <v>2449</v>
      </c>
      <c r="B16" s="4" t="s">
        <v>22</v>
      </c>
      <c r="C16" s="4" t="s">
        <v>70</v>
      </c>
      <c r="D16" s="4" t="s">
        <v>15</v>
      </c>
      <c r="F16" s="5">
        <v>145</v>
      </c>
      <c r="G16" s="4" t="s">
        <v>1035</v>
      </c>
      <c r="H16" s="4" t="s">
        <v>2450</v>
      </c>
      <c r="I16" s="4" t="s">
        <v>2451</v>
      </c>
      <c r="J16" s="4" t="s">
        <v>19</v>
      </c>
      <c r="K16" s="4" t="s">
        <v>25</v>
      </c>
      <c r="L16" s="4" t="s">
        <v>2452</v>
      </c>
      <c r="M16" s="6" t="str">
        <f>HYPERLINK("http://maps.google.com/maps?f=q&amp;hl=en&amp;geocode=&amp;q=-28.22148,153.54021")</f>
        <v>http://maps.google.com/maps?f=q&amp;hl=en&amp;geocode=&amp;q=-28.22148,153.54021</v>
      </c>
    </row>
    <row r="17" spans="1:13" ht="60" x14ac:dyDescent="0.25">
      <c r="A17" s="4" t="s">
        <v>2447</v>
      </c>
      <c r="B17" s="4" t="s">
        <v>34</v>
      </c>
      <c r="C17" s="4" t="s">
        <v>14</v>
      </c>
      <c r="D17" s="4" t="s">
        <v>15</v>
      </c>
      <c r="F17" s="5">
        <v>62</v>
      </c>
      <c r="G17" s="4" t="s">
        <v>698</v>
      </c>
      <c r="H17" s="4" t="s">
        <v>132</v>
      </c>
      <c r="I17" s="4" t="s">
        <v>2448</v>
      </c>
      <c r="J17" s="4" t="s">
        <v>19</v>
      </c>
      <c r="K17" s="4" t="s">
        <v>117</v>
      </c>
      <c r="M17" s="6" t="str">
        <f>HYPERLINK("http://maps.google.com/maps?f=q&amp;hl=en&amp;geocode=&amp;q=-28.81863,153.28932")</f>
        <v>http://maps.google.com/maps?f=q&amp;hl=en&amp;geocode=&amp;q=-28.81863,153.28932</v>
      </c>
    </row>
    <row r="18" spans="1:13" ht="60" x14ac:dyDescent="0.25">
      <c r="A18" s="4" t="s">
        <v>2446</v>
      </c>
      <c r="B18" s="4" t="s">
        <v>34</v>
      </c>
      <c r="C18" s="4" t="s">
        <v>70</v>
      </c>
      <c r="D18" s="4" t="s">
        <v>15</v>
      </c>
      <c r="F18" s="5">
        <v>26</v>
      </c>
      <c r="G18" s="4" t="s">
        <v>771</v>
      </c>
      <c r="H18" s="4" t="s">
        <v>61</v>
      </c>
      <c r="J18" s="4" t="s">
        <v>19</v>
      </c>
      <c r="K18" s="4" t="s">
        <v>18</v>
      </c>
      <c r="M18" s="6" t="str">
        <f>HYPERLINK("http://maps.google.com/maps?f=q&amp;hl=en&amp;geocode=&amp;q=-28.82046,153.32325")</f>
        <v>http://maps.google.com/maps?f=q&amp;hl=en&amp;geocode=&amp;q=-28.82046,153.32325</v>
      </c>
    </row>
    <row r="19" spans="1:13" ht="60" x14ac:dyDescent="0.25">
      <c r="A19" s="4" t="s">
        <v>2443</v>
      </c>
      <c r="B19" s="4" t="s">
        <v>82</v>
      </c>
      <c r="C19" s="4" t="s">
        <v>70</v>
      </c>
      <c r="D19" s="4" t="s">
        <v>41</v>
      </c>
      <c r="F19" s="5">
        <v>10</v>
      </c>
      <c r="G19" s="4" t="s">
        <v>2444</v>
      </c>
      <c r="H19" s="4" t="s">
        <v>1050</v>
      </c>
      <c r="J19" s="4" t="s">
        <v>38</v>
      </c>
      <c r="K19" s="4" t="s">
        <v>31</v>
      </c>
      <c r="L19" s="4" t="s">
        <v>2445</v>
      </c>
      <c r="M19" s="6" t="str">
        <f>HYPERLINK("http://maps.google.com/maps?f=q&amp;hl=en&amp;geocode=&amp;q=-28.49783,153.5482")</f>
        <v>http://maps.google.com/maps?f=q&amp;hl=en&amp;geocode=&amp;q=-28.49783,153.5482</v>
      </c>
    </row>
    <row r="20" spans="1:13" ht="60" x14ac:dyDescent="0.25">
      <c r="A20" s="4" t="s">
        <v>2438</v>
      </c>
      <c r="B20" s="4" t="s">
        <v>82</v>
      </c>
      <c r="C20" s="4" t="s">
        <v>14</v>
      </c>
      <c r="D20" s="4" t="s">
        <v>15</v>
      </c>
      <c r="F20" s="5" t="s">
        <v>2439</v>
      </c>
      <c r="G20" s="4" t="s">
        <v>2440</v>
      </c>
      <c r="H20" s="4" t="s">
        <v>194</v>
      </c>
      <c r="I20" s="4" t="s">
        <v>2441</v>
      </c>
      <c r="J20" s="4" t="s">
        <v>31</v>
      </c>
      <c r="K20" s="4" t="s">
        <v>25</v>
      </c>
      <c r="L20" s="4" t="s">
        <v>2442</v>
      </c>
      <c r="M20" s="6" t="str">
        <f>HYPERLINK("http://maps.google.com/maps?f=q&amp;hl=en&amp;geocode=&amp;q=-28.5493,153.50201")</f>
        <v>http://maps.google.com/maps?f=q&amp;hl=en&amp;geocode=&amp;q=-28.5493,153.50201</v>
      </c>
    </row>
    <row r="21" spans="1:13" ht="60" x14ac:dyDescent="0.25">
      <c r="A21" s="4" t="s">
        <v>2436</v>
      </c>
      <c r="B21" s="4" t="s">
        <v>28</v>
      </c>
      <c r="C21" s="4" t="s">
        <v>14</v>
      </c>
      <c r="D21" s="4" t="s">
        <v>41</v>
      </c>
      <c r="F21" s="5">
        <v>1</v>
      </c>
      <c r="G21" s="4" t="s">
        <v>1217</v>
      </c>
      <c r="H21" s="4" t="s">
        <v>1218</v>
      </c>
      <c r="I21" s="4" t="s">
        <v>2437</v>
      </c>
      <c r="J21" s="4" t="s">
        <v>19</v>
      </c>
      <c r="K21" s="4" t="s">
        <v>145</v>
      </c>
      <c r="M21" s="6" t="str">
        <f>HYPERLINK("http://maps.google.com/maps?f=q&amp;hl=en&amp;geocode=&amp;q=-28.82986,153.53733")</f>
        <v>http://maps.google.com/maps?f=q&amp;hl=en&amp;geocode=&amp;q=-28.82986,153.53733</v>
      </c>
    </row>
    <row r="22" spans="1:13" ht="60" x14ac:dyDescent="0.25">
      <c r="A22" s="4" t="s">
        <v>2432</v>
      </c>
      <c r="B22" s="4" t="s">
        <v>28</v>
      </c>
      <c r="C22" s="4" t="s">
        <v>70</v>
      </c>
      <c r="D22" s="4" t="s">
        <v>15</v>
      </c>
      <c r="F22" s="5">
        <v>29</v>
      </c>
      <c r="G22" s="4" t="s">
        <v>2433</v>
      </c>
      <c r="H22" s="4" t="s">
        <v>464</v>
      </c>
      <c r="I22" s="4" t="s">
        <v>2434</v>
      </c>
      <c r="J22" s="4" t="s">
        <v>224</v>
      </c>
      <c r="K22" s="4" t="s">
        <v>25</v>
      </c>
      <c r="L22" s="4" t="s">
        <v>2435</v>
      </c>
      <c r="M22" s="6" t="str">
        <f>HYPERLINK("http://maps.google.com/maps?f=q&amp;hl=en&amp;geocode=&amp;q=-28.84767,153.59874")</f>
        <v>http://maps.google.com/maps?f=q&amp;hl=en&amp;geocode=&amp;q=-28.84767,153.59874</v>
      </c>
    </row>
    <row r="23" spans="1:13" ht="60" x14ac:dyDescent="0.25">
      <c r="A23" s="4" t="s">
        <v>2429</v>
      </c>
      <c r="B23" s="4" t="s">
        <v>69</v>
      </c>
      <c r="C23" s="4" t="s">
        <v>70</v>
      </c>
      <c r="D23" s="4" t="s">
        <v>15</v>
      </c>
      <c r="F23" s="5">
        <v>14</v>
      </c>
      <c r="G23" s="4" t="s">
        <v>2430</v>
      </c>
      <c r="H23" s="4" t="s">
        <v>72</v>
      </c>
      <c r="I23" s="4" t="s">
        <v>766</v>
      </c>
      <c r="J23" s="4" t="s">
        <v>25</v>
      </c>
      <c r="K23" s="4" t="s">
        <v>19</v>
      </c>
      <c r="L23" s="4" t="s">
        <v>2431</v>
      </c>
      <c r="M23" s="6" t="str">
        <f>HYPERLINK("http://maps.google.com/maps?f=q&amp;hl=en&amp;geocode=&amp;q=-29.42655,153.33204")</f>
        <v>http://maps.google.com/maps?f=q&amp;hl=en&amp;geocode=&amp;q=-29.42655,153.33204</v>
      </c>
    </row>
    <row r="24" spans="1:13" ht="60" x14ac:dyDescent="0.25">
      <c r="A24" s="4" t="s">
        <v>2425</v>
      </c>
      <c r="B24" s="4" t="s">
        <v>28</v>
      </c>
      <c r="C24" s="4" t="s">
        <v>14</v>
      </c>
      <c r="D24" s="4" t="s">
        <v>15</v>
      </c>
      <c r="F24" s="5">
        <v>2</v>
      </c>
      <c r="G24" s="4" t="s">
        <v>2426</v>
      </c>
      <c r="H24" s="4" t="s">
        <v>464</v>
      </c>
      <c r="I24" s="4" t="s">
        <v>2427</v>
      </c>
      <c r="J24" s="4" t="s">
        <v>66</v>
      </c>
      <c r="K24" s="4" t="s">
        <v>18</v>
      </c>
      <c r="L24" s="4" t="s">
        <v>2428</v>
      </c>
      <c r="M24" s="6" t="str">
        <f>HYPERLINK("http://maps.google.com/maps?f=q&amp;hl=en&amp;geocode=&amp;q=-28.8691,153.5884")</f>
        <v>http://maps.google.com/maps?f=q&amp;hl=en&amp;geocode=&amp;q=-28.8691,153.5884</v>
      </c>
    </row>
    <row r="25" spans="1:13" ht="60" x14ac:dyDescent="0.25">
      <c r="A25" s="4" t="s">
        <v>2420</v>
      </c>
      <c r="B25" s="4" t="s">
        <v>22</v>
      </c>
      <c r="C25" s="4" t="s">
        <v>14</v>
      </c>
      <c r="D25" s="4" t="s">
        <v>15</v>
      </c>
      <c r="F25" s="5" t="s">
        <v>2421</v>
      </c>
      <c r="G25" s="4" t="s">
        <v>2422</v>
      </c>
      <c r="H25" s="4" t="s">
        <v>296</v>
      </c>
      <c r="I25" s="4" t="s">
        <v>2423</v>
      </c>
      <c r="J25" s="4" t="s">
        <v>44</v>
      </c>
      <c r="K25" s="4" t="s">
        <v>19</v>
      </c>
      <c r="L25" s="4" t="s">
        <v>2424</v>
      </c>
      <c r="M25" s="6" t="str">
        <f>HYPERLINK("http://maps.google.com/maps?f=q&amp;hl=en&amp;geocode=&amp;q=-28.24083,153.56505")</f>
        <v>http://maps.google.com/maps?f=q&amp;hl=en&amp;geocode=&amp;q=-28.24083,153.56505</v>
      </c>
    </row>
    <row r="26" spans="1:13" ht="60" x14ac:dyDescent="0.25">
      <c r="A26" s="4" t="s">
        <v>2418</v>
      </c>
      <c r="B26" s="4" t="s">
        <v>28</v>
      </c>
      <c r="C26" s="4" t="s">
        <v>14</v>
      </c>
      <c r="D26" s="4" t="s">
        <v>15</v>
      </c>
      <c r="F26" s="5">
        <v>5</v>
      </c>
      <c r="G26" s="4" t="s">
        <v>2419</v>
      </c>
      <c r="H26" s="4" t="s">
        <v>223</v>
      </c>
      <c r="J26" s="4" t="s">
        <v>25</v>
      </c>
      <c r="K26" s="4" t="s">
        <v>18</v>
      </c>
      <c r="M26" s="6" t="str">
        <f>HYPERLINK("http://maps.google.com/maps?f=q&amp;hl=en&amp;geocode=&amp;q=-28.8297,153.59752")</f>
        <v>http://maps.google.com/maps?f=q&amp;hl=en&amp;geocode=&amp;q=-28.8297,153.59752</v>
      </c>
    </row>
    <row r="27" spans="1:13" ht="60" x14ac:dyDescent="0.25">
      <c r="A27" s="4" t="s">
        <v>2415</v>
      </c>
      <c r="B27" s="4" t="s">
        <v>22</v>
      </c>
      <c r="C27" s="4" t="s">
        <v>14</v>
      </c>
      <c r="D27" s="4" t="s">
        <v>15</v>
      </c>
      <c r="F27" s="5">
        <v>30</v>
      </c>
      <c r="G27" s="4" t="s">
        <v>2416</v>
      </c>
      <c r="H27" s="4" t="s">
        <v>165</v>
      </c>
      <c r="I27" s="4" t="s">
        <v>117</v>
      </c>
      <c r="J27" s="4" t="s">
        <v>117</v>
      </c>
      <c r="K27" s="4" t="s">
        <v>31</v>
      </c>
      <c r="L27" s="4" t="s">
        <v>2417</v>
      </c>
      <c r="M27" s="6" t="str">
        <f>HYPERLINK("http://maps.google.com/maps?f=q&amp;hl=en&amp;geocode=&amp;q=-28.21915,153.52858")</f>
        <v>http://maps.google.com/maps?f=q&amp;hl=en&amp;geocode=&amp;q=-28.21915,153.52858</v>
      </c>
    </row>
    <row r="28" spans="1:13" ht="60" x14ac:dyDescent="0.25">
      <c r="A28" s="4" t="s">
        <v>2411</v>
      </c>
      <c r="B28" s="4" t="s">
        <v>22</v>
      </c>
      <c r="C28" s="4" t="s">
        <v>14</v>
      </c>
      <c r="D28" s="4" t="s">
        <v>15</v>
      </c>
      <c r="F28" s="5">
        <v>11</v>
      </c>
      <c r="G28" s="4" t="s">
        <v>2412</v>
      </c>
      <c r="H28" s="4" t="s">
        <v>703</v>
      </c>
      <c r="I28" s="4" t="s">
        <v>2413</v>
      </c>
      <c r="J28" s="4" t="s">
        <v>38</v>
      </c>
      <c r="K28" s="4" t="s">
        <v>44</v>
      </c>
      <c r="L28" s="4" t="s">
        <v>2414</v>
      </c>
      <c r="M28" s="6" t="str">
        <f>HYPERLINK("http://maps.google.com/maps?f=q&amp;hl=en&amp;geocode=&amp;q=-28.39723,153.56254")</f>
        <v>http://maps.google.com/maps?f=q&amp;hl=en&amp;geocode=&amp;q=-28.39723,153.56254</v>
      </c>
    </row>
    <row r="29" spans="1:13" ht="60" x14ac:dyDescent="0.25">
      <c r="A29" s="4" t="s">
        <v>2408</v>
      </c>
      <c r="B29" s="4" t="s">
        <v>69</v>
      </c>
      <c r="C29" s="4" t="s">
        <v>14</v>
      </c>
      <c r="D29" s="4" t="s">
        <v>15</v>
      </c>
      <c r="F29" s="5">
        <v>43</v>
      </c>
      <c r="G29" s="4" t="s">
        <v>2409</v>
      </c>
      <c r="H29" s="4" t="s">
        <v>349</v>
      </c>
      <c r="I29" s="4" t="s">
        <v>503</v>
      </c>
      <c r="J29" s="4" t="s">
        <v>19</v>
      </c>
      <c r="K29" s="4" t="s">
        <v>18</v>
      </c>
      <c r="L29" s="4" t="s">
        <v>2410</v>
      </c>
      <c r="M29" s="6" t="str">
        <f>HYPERLINK("http://maps.google.com/maps?f=q&amp;hl=en&amp;geocode=&amp;q=-29.69194,152.94356")</f>
        <v>http://maps.google.com/maps?f=q&amp;hl=en&amp;geocode=&amp;q=-29.69194,152.94356</v>
      </c>
    </row>
    <row r="30" spans="1:13" ht="60" x14ac:dyDescent="0.25">
      <c r="A30" s="4" t="s">
        <v>2407</v>
      </c>
      <c r="B30" s="4" t="s">
        <v>34</v>
      </c>
      <c r="C30" s="4" t="s">
        <v>70</v>
      </c>
      <c r="D30" s="4" t="s">
        <v>15</v>
      </c>
      <c r="F30" s="5">
        <v>128</v>
      </c>
      <c r="G30" s="4" t="s">
        <v>1031</v>
      </c>
      <c r="H30" s="4" t="s">
        <v>245</v>
      </c>
      <c r="I30" s="4" t="s">
        <v>2268</v>
      </c>
      <c r="J30" s="4" t="s">
        <v>18</v>
      </c>
      <c r="K30" s="4" t="s">
        <v>31</v>
      </c>
      <c r="M30" s="6" t="str">
        <f>HYPERLINK("http://maps.google.com/maps?f=q&amp;hl=en&amp;geocode=&amp;q=-28.81517,153.2878")</f>
        <v>http://maps.google.com/maps?f=q&amp;hl=en&amp;geocode=&amp;q=-28.81517,153.2878</v>
      </c>
    </row>
    <row r="31" spans="1:13" ht="60" x14ac:dyDescent="0.25">
      <c r="A31" s="4" t="s">
        <v>2403</v>
      </c>
      <c r="B31" s="4" t="s">
        <v>28</v>
      </c>
      <c r="C31" s="4" t="s">
        <v>70</v>
      </c>
      <c r="D31" s="4" t="s">
        <v>15</v>
      </c>
      <c r="F31" s="5">
        <v>44</v>
      </c>
      <c r="G31" s="4" t="s">
        <v>2404</v>
      </c>
      <c r="H31" s="4" t="s">
        <v>107</v>
      </c>
      <c r="I31" s="4" t="s">
        <v>2405</v>
      </c>
      <c r="J31" s="4" t="s">
        <v>25</v>
      </c>
      <c r="K31" s="4" t="s">
        <v>18</v>
      </c>
      <c r="L31" s="4" t="s">
        <v>2406</v>
      </c>
      <c r="M31" s="6" t="str">
        <f>HYPERLINK("http://maps.google.com/maps?f=q&amp;hl=en&amp;geocode=&amp;q=-28.86572,153.55848")</f>
        <v>http://maps.google.com/maps?f=q&amp;hl=en&amp;geocode=&amp;q=-28.86572,153.55848</v>
      </c>
    </row>
    <row r="32" spans="1:13" ht="60" x14ac:dyDescent="0.25">
      <c r="A32" s="4" t="s">
        <v>2400</v>
      </c>
      <c r="B32" s="4" t="s">
        <v>22</v>
      </c>
      <c r="C32" s="4" t="s">
        <v>14</v>
      </c>
      <c r="D32" s="4" t="s">
        <v>15</v>
      </c>
      <c r="F32" s="5">
        <v>22</v>
      </c>
      <c r="G32" s="4" t="s">
        <v>1762</v>
      </c>
      <c r="H32" s="4" t="s">
        <v>110</v>
      </c>
      <c r="I32" s="4" t="s">
        <v>2401</v>
      </c>
      <c r="J32" s="4" t="s">
        <v>57</v>
      </c>
      <c r="K32" s="4" t="s">
        <v>50</v>
      </c>
      <c r="L32" s="4" t="s">
        <v>2402</v>
      </c>
      <c r="M32" s="6" t="str">
        <f>HYPERLINK("http://maps.google.com/maps?f=q&amp;hl=en&amp;geocode=&amp;q=-28.33429,153.36569")</f>
        <v>http://maps.google.com/maps?f=q&amp;hl=en&amp;geocode=&amp;q=-28.33429,153.36569</v>
      </c>
    </row>
    <row r="33" spans="1:13" ht="60" x14ac:dyDescent="0.25">
      <c r="A33" s="4" t="s">
        <v>2396</v>
      </c>
      <c r="B33" s="4" t="s">
        <v>82</v>
      </c>
      <c r="C33" s="4" t="s">
        <v>14</v>
      </c>
      <c r="D33" s="4" t="s">
        <v>15</v>
      </c>
      <c r="F33" s="5">
        <v>15</v>
      </c>
      <c r="G33" s="4" t="s">
        <v>2397</v>
      </c>
      <c r="H33" s="4" t="s">
        <v>480</v>
      </c>
      <c r="I33" s="4" t="s">
        <v>2398</v>
      </c>
      <c r="J33" s="4" t="s">
        <v>18</v>
      </c>
      <c r="K33" s="4" t="s">
        <v>19</v>
      </c>
      <c r="L33" s="4" t="s">
        <v>2399</v>
      </c>
      <c r="M33" s="6" t="str">
        <f>HYPERLINK("http://maps.google.com/maps?f=q&amp;hl=en&amp;geocode=&amp;q=-28.64192,153.56304")</f>
        <v>http://maps.google.com/maps?f=q&amp;hl=en&amp;geocode=&amp;q=-28.64192,153.56304</v>
      </c>
    </row>
    <row r="34" spans="1:13" ht="60" x14ac:dyDescent="0.25">
      <c r="A34" s="4" t="s">
        <v>2393</v>
      </c>
      <c r="B34" s="4" t="s">
        <v>82</v>
      </c>
      <c r="C34" s="4" t="s">
        <v>14</v>
      </c>
      <c r="D34" s="4" t="s">
        <v>15</v>
      </c>
      <c r="F34" s="5">
        <v>11</v>
      </c>
      <c r="G34" s="4" t="s">
        <v>2394</v>
      </c>
      <c r="H34" s="4" t="s">
        <v>84</v>
      </c>
      <c r="J34" s="4" t="s">
        <v>74</v>
      </c>
      <c r="K34" s="4" t="s">
        <v>18</v>
      </c>
      <c r="L34" s="4" t="s">
        <v>2395</v>
      </c>
      <c r="M34" s="6" t="str">
        <f>HYPERLINK("http://maps.google.com/maps?f=q&amp;hl=en&amp;geocode=&amp;q=-28.64818,153.62255")</f>
        <v>http://maps.google.com/maps?f=q&amp;hl=en&amp;geocode=&amp;q=-28.64818,153.62255</v>
      </c>
    </row>
    <row r="35" spans="1:13" ht="60" x14ac:dyDescent="0.25">
      <c r="A35" s="4" t="s">
        <v>2389</v>
      </c>
      <c r="B35" s="4" t="s">
        <v>28</v>
      </c>
      <c r="C35" s="4" t="s">
        <v>14</v>
      </c>
      <c r="D35" s="4" t="s">
        <v>15</v>
      </c>
      <c r="F35" s="5">
        <v>33</v>
      </c>
      <c r="G35" s="4" t="s">
        <v>2390</v>
      </c>
      <c r="H35" s="4" t="s">
        <v>292</v>
      </c>
      <c r="I35" s="4" t="s">
        <v>2391</v>
      </c>
      <c r="J35" s="4" t="s">
        <v>66</v>
      </c>
      <c r="K35" s="4" t="s">
        <v>25</v>
      </c>
      <c r="L35" s="4" t="s">
        <v>2392</v>
      </c>
      <c r="M35" s="6" t="str">
        <f>HYPERLINK("http://maps.google.com/maps?f=q&amp;hl=en&amp;geocode=&amp;q=-28.86487,153.53908")</f>
        <v>http://maps.google.com/maps?f=q&amp;hl=en&amp;geocode=&amp;q=-28.86487,153.53908</v>
      </c>
    </row>
    <row r="36" spans="1:13" ht="60" x14ac:dyDescent="0.25">
      <c r="A36" s="4" t="s">
        <v>2386</v>
      </c>
      <c r="B36" s="4" t="s">
        <v>82</v>
      </c>
      <c r="C36" s="4" t="s">
        <v>14</v>
      </c>
      <c r="D36" s="4" t="s">
        <v>15</v>
      </c>
      <c r="F36" s="5">
        <v>27</v>
      </c>
      <c r="G36" s="4" t="s">
        <v>2387</v>
      </c>
      <c r="H36" s="4" t="s">
        <v>154</v>
      </c>
      <c r="I36" s="4" t="s">
        <v>2388</v>
      </c>
      <c r="J36" s="4" t="s">
        <v>18</v>
      </c>
      <c r="K36" s="4" t="s">
        <v>25</v>
      </c>
      <c r="M36" s="6" t="str">
        <f>HYPERLINK("http://maps.google.com/maps?f=q&amp;hl=en&amp;geocode=&amp;q=-28.50653,153.53324")</f>
        <v>http://maps.google.com/maps?f=q&amp;hl=en&amp;geocode=&amp;q=-28.50653,153.53324</v>
      </c>
    </row>
    <row r="37" spans="1:13" ht="60" x14ac:dyDescent="0.25">
      <c r="A37" s="4" t="s">
        <v>2382</v>
      </c>
      <c r="B37" s="4" t="s">
        <v>34</v>
      </c>
      <c r="C37" s="4" t="s">
        <v>14</v>
      </c>
      <c r="D37" s="4" t="s">
        <v>41</v>
      </c>
      <c r="F37" s="5">
        <v>9</v>
      </c>
      <c r="G37" s="4" t="s">
        <v>2383</v>
      </c>
      <c r="H37" s="4" t="s">
        <v>61</v>
      </c>
      <c r="I37" s="4" t="s">
        <v>2384</v>
      </c>
      <c r="J37" s="4" t="s">
        <v>18</v>
      </c>
      <c r="K37" s="4" t="s">
        <v>25</v>
      </c>
      <c r="L37" s="4" t="s">
        <v>2385</v>
      </c>
      <c r="M37" s="6" t="str">
        <f>HYPERLINK("http://maps.google.com/maps?f=q&amp;hl=en&amp;geocode=&amp;q=-28.81611,153.33302")</f>
        <v>http://maps.google.com/maps?f=q&amp;hl=en&amp;geocode=&amp;q=-28.81611,153.33302</v>
      </c>
    </row>
    <row r="38" spans="1:13" ht="60" x14ac:dyDescent="0.25">
      <c r="A38" s="4" t="s">
        <v>2378</v>
      </c>
      <c r="B38" s="4" t="s">
        <v>22</v>
      </c>
      <c r="C38" s="4" t="s">
        <v>70</v>
      </c>
      <c r="D38" s="4" t="s">
        <v>15</v>
      </c>
      <c r="F38" s="5">
        <v>19</v>
      </c>
      <c r="G38" s="4" t="s">
        <v>2379</v>
      </c>
      <c r="H38" s="4" t="s">
        <v>296</v>
      </c>
      <c r="I38" s="4" t="s">
        <v>2380</v>
      </c>
      <c r="J38" s="4" t="s">
        <v>31</v>
      </c>
      <c r="K38" s="4" t="s">
        <v>25</v>
      </c>
      <c r="L38" s="4" t="s">
        <v>2381</v>
      </c>
      <c r="M38" s="6" t="str">
        <f>HYPERLINK("http://maps.google.com/maps?f=q&amp;hl=en&amp;geocode=&amp;q=-28.26082,153.57936")</f>
        <v>http://maps.google.com/maps?f=q&amp;hl=en&amp;geocode=&amp;q=-28.26082,153.57936</v>
      </c>
    </row>
    <row r="39" spans="1:13" ht="60" x14ac:dyDescent="0.25">
      <c r="A39" s="4" t="s">
        <v>2375</v>
      </c>
      <c r="B39" s="4" t="s">
        <v>82</v>
      </c>
      <c r="C39" s="4" t="s">
        <v>70</v>
      </c>
      <c r="D39" s="4" t="s">
        <v>15</v>
      </c>
      <c r="F39" s="5">
        <v>36</v>
      </c>
      <c r="G39" s="4" t="s">
        <v>743</v>
      </c>
      <c r="H39" s="4" t="s">
        <v>194</v>
      </c>
      <c r="I39" s="4" t="s">
        <v>2376</v>
      </c>
      <c r="J39" s="4" t="s">
        <v>19</v>
      </c>
      <c r="K39" s="4" t="s">
        <v>19</v>
      </c>
      <c r="L39" s="4" t="s">
        <v>2377</v>
      </c>
      <c r="M39" s="6" t="str">
        <f>HYPERLINK("http://maps.google.com/maps?f=q&amp;hl=en&amp;geocode=&amp;q=-28.54853,153.49179")</f>
        <v>http://maps.google.com/maps?f=q&amp;hl=en&amp;geocode=&amp;q=-28.54853,153.49179</v>
      </c>
    </row>
    <row r="40" spans="1:13" ht="60" x14ac:dyDescent="0.25">
      <c r="A40" s="4" t="s">
        <v>2372</v>
      </c>
      <c r="B40" s="4" t="s">
        <v>82</v>
      </c>
      <c r="C40" s="4" t="s">
        <v>14</v>
      </c>
      <c r="D40" s="4" t="s">
        <v>335</v>
      </c>
      <c r="F40" s="5" t="s">
        <v>2373</v>
      </c>
      <c r="G40" s="4" t="s">
        <v>1019</v>
      </c>
      <c r="H40" s="4" t="s">
        <v>832</v>
      </c>
      <c r="I40" s="4" t="s">
        <v>2374</v>
      </c>
      <c r="J40" s="4" t="s">
        <v>18</v>
      </c>
      <c r="K40" s="4" t="s">
        <v>31</v>
      </c>
      <c r="L40" s="4" t="s">
        <v>134</v>
      </c>
      <c r="M40" s="6" t="str">
        <f>HYPERLINK("http://maps.google.com/maps?f=q&amp;hl=en&amp;geocode=&amp;q=-28.68854,153.6034")</f>
        <v>http://maps.google.com/maps?f=q&amp;hl=en&amp;geocode=&amp;q=-28.68854,153.6034</v>
      </c>
    </row>
    <row r="41" spans="1:13" ht="60" x14ac:dyDescent="0.25">
      <c r="A41" s="4" t="s">
        <v>2368</v>
      </c>
      <c r="B41" s="4" t="s">
        <v>22</v>
      </c>
      <c r="C41" s="4" t="s">
        <v>14</v>
      </c>
      <c r="D41" s="4" t="s">
        <v>15</v>
      </c>
      <c r="F41" s="5">
        <v>1</v>
      </c>
      <c r="G41" s="4" t="s">
        <v>2369</v>
      </c>
      <c r="H41" s="4" t="s">
        <v>110</v>
      </c>
      <c r="I41" s="4" t="s">
        <v>2370</v>
      </c>
      <c r="J41" s="4" t="s">
        <v>38</v>
      </c>
      <c r="K41" s="4" t="s">
        <v>19</v>
      </c>
      <c r="L41" s="4" t="s">
        <v>2371</v>
      </c>
      <c r="M41" s="6" t="str">
        <f>HYPERLINK("http://maps.google.com/maps?f=q&amp;hl=en&amp;geocode=&amp;q=-28.327,153.39587")</f>
        <v>http://maps.google.com/maps?f=q&amp;hl=en&amp;geocode=&amp;q=-28.327,153.39587</v>
      </c>
    </row>
    <row r="42" spans="1:13" ht="60" x14ac:dyDescent="0.25">
      <c r="A42" s="4" t="s">
        <v>2365</v>
      </c>
      <c r="B42" s="4" t="s">
        <v>22</v>
      </c>
      <c r="C42" s="4" t="s">
        <v>14</v>
      </c>
      <c r="D42" s="4" t="s">
        <v>15</v>
      </c>
      <c r="F42" s="5">
        <v>6</v>
      </c>
      <c r="G42" s="4" t="s">
        <v>2366</v>
      </c>
      <c r="H42" s="4" t="s">
        <v>165</v>
      </c>
      <c r="I42" s="4" t="s">
        <v>2367</v>
      </c>
      <c r="J42" s="4" t="s">
        <v>25</v>
      </c>
      <c r="K42" s="4" t="s">
        <v>18</v>
      </c>
      <c r="M42" s="6" t="str">
        <f>HYPERLINK("http://maps.google.com/maps?f=q&amp;hl=en&amp;geocode=&amp;q=-28.21115,153.53256")</f>
        <v>http://maps.google.com/maps?f=q&amp;hl=en&amp;geocode=&amp;q=-28.21115,153.53256</v>
      </c>
    </row>
    <row r="43" spans="1:13" ht="60" x14ac:dyDescent="0.25">
      <c r="A43" s="4" t="s">
        <v>2362</v>
      </c>
      <c r="B43" s="4" t="s">
        <v>22</v>
      </c>
      <c r="C43" s="4" t="s">
        <v>14</v>
      </c>
      <c r="D43" s="4" t="s">
        <v>15</v>
      </c>
      <c r="F43" s="5">
        <v>350</v>
      </c>
      <c r="G43" s="4" t="s">
        <v>1481</v>
      </c>
      <c r="H43" s="4" t="s">
        <v>1482</v>
      </c>
      <c r="I43" s="4" t="s">
        <v>2363</v>
      </c>
      <c r="J43" s="4" t="s">
        <v>145</v>
      </c>
      <c r="K43" s="4" t="s">
        <v>19</v>
      </c>
      <c r="L43" s="4" t="s">
        <v>2364</v>
      </c>
      <c r="M43" s="6" t="str">
        <f>HYPERLINK("http://maps.google.com/maps?f=q&amp;hl=en&amp;geocode=&amp;q=-28.42047,153.37117")</f>
        <v>http://maps.google.com/maps?f=q&amp;hl=en&amp;geocode=&amp;q=-28.42047,153.37117</v>
      </c>
    </row>
    <row r="44" spans="1:13" ht="60" x14ac:dyDescent="0.25">
      <c r="A44" s="4" t="s">
        <v>2359</v>
      </c>
      <c r="B44" s="4" t="s">
        <v>22</v>
      </c>
      <c r="C44" s="4" t="s">
        <v>14</v>
      </c>
      <c r="D44" s="4" t="s">
        <v>15</v>
      </c>
      <c r="F44" s="5">
        <v>27</v>
      </c>
      <c r="G44" s="4" t="s">
        <v>2360</v>
      </c>
      <c r="H44" s="4" t="s">
        <v>703</v>
      </c>
      <c r="I44" s="4" t="s">
        <v>117</v>
      </c>
      <c r="J44" s="4" t="s">
        <v>117</v>
      </c>
      <c r="K44" s="4" t="s">
        <v>31</v>
      </c>
      <c r="L44" s="4" t="s">
        <v>2361</v>
      </c>
      <c r="M44" s="6" t="str">
        <f>HYPERLINK("http://maps.google.com/maps?f=q&amp;hl=en&amp;geocode=&amp;q=-28.38315,153.55785")</f>
        <v>http://maps.google.com/maps?f=q&amp;hl=en&amp;geocode=&amp;q=-28.38315,153.55785</v>
      </c>
    </row>
    <row r="45" spans="1:13" ht="60" x14ac:dyDescent="0.25">
      <c r="A45" s="4" t="s">
        <v>2356</v>
      </c>
      <c r="B45" s="4" t="s">
        <v>82</v>
      </c>
      <c r="C45" s="4" t="s">
        <v>70</v>
      </c>
      <c r="D45" s="4" t="s">
        <v>41</v>
      </c>
      <c r="F45" s="5">
        <v>20</v>
      </c>
      <c r="G45" s="4" t="s">
        <v>1713</v>
      </c>
      <c r="H45" s="4" t="s">
        <v>84</v>
      </c>
      <c r="I45" s="4" t="s">
        <v>2357</v>
      </c>
      <c r="J45" s="4" t="s">
        <v>25</v>
      </c>
      <c r="K45" s="4" t="s">
        <v>31</v>
      </c>
      <c r="L45" s="4" t="s">
        <v>2358</v>
      </c>
      <c r="M45" s="6" t="str">
        <f>HYPERLINK("http://maps.google.com/maps?f=q&amp;hl=en&amp;geocode=&amp;q=-28.66059,153.6185")</f>
        <v>http://maps.google.com/maps?f=q&amp;hl=en&amp;geocode=&amp;q=-28.66059,153.6185</v>
      </c>
    </row>
    <row r="46" spans="1:13" ht="60" x14ac:dyDescent="0.25">
      <c r="A46" s="4" t="s">
        <v>2353</v>
      </c>
      <c r="B46" s="4" t="s">
        <v>82</v>
      </c>
      <c r="C46" s="4" t="s">
        <v>14</v>
      </c>
      <c r="D46" s="4" t="s">
        <v>15</v>
      </c>
      <c r="F46" s="5">
        <v>46</v>
      </c>
      <c r="G46" s="4" t="s">
        <v>2354</v>
      </c>
      <c r="H46" s="4" t="s">
        <v>2355</v>
      </c>
      <c r="J46" s="4" t="s">
        <v>18</v>
      </c>
      <c r="K46" s="4" t="s">
        <v>25</v>
      </c>
      <c r="M46" s="6" t="str">
        <f>HYPERLINK("http://maps.google.com/maps?f=q&amp;hl=en&amp;geocode=&amp;q=-28.52237,153.53177")</f>
        <v>http://maps.google.com/maps?f=q&amp;hl=en&amp;geocode=&amp;q=-28.52237,153.53177</v>
      </c>
    </row>
    <row r="47" spans="1:13" ht="60" x14ac:dyDescent="0.25">
      <c r="A47" s="4" t="s">
        <v>2349</v>
      </c>
      <c r="B47" s="4" t="s">
        <v>22</v>
      </c>
      <c r="C47" s="4" t="s">
        <v>70</v>
      </c>
      <c r="D47" s="4" t="s">
        <v>15</v>
      </c>
      <c r="F47" s="5">
        <v>30</v>
      </c>
      <c r="G47" s="4" t="s">
        <v>2350</v>
      </c>
      <c r="H47" s="4" t="s">
        <v>703</v>
      </c>
      <c r="I47" s="4" t="s">
        <v>2351</v>
      </c>
      <c r="J47" s="4" t="s">
        <v>74</v>
      </c>
      <c r="K47" s="4" t="s">
        <v>19</v>
      </c>
      <c r="L47" s="4" t="s">
        <v>2352</v>
      </c>
      <c r="M47" s="6" t="str">
        <f>HYPERLINK("http://maps.google.com/maps?f=q&amp;hl=en&amp;geocode=&amp;q=-28.40001,153.55788")</f>
        <v>http://maps.google.com/maps?f=q&amp;hl=en&amp;geocode=&amp;q=-28.40001,153.55788</v>
      </c>
    </row>
    <row r="48" spans="1:13" ht="60" x14ac:dyDescent="0.25">
      <c r="A48" s="4" t="s">
        <v>2346</v>
      </c>
      <c r="B48" s="4" t="s">
        <v>28</v>
      </c>
      <c r="C48" s="4" t="s">
        <v>14</v>
      </c>
      <c r="D48" s="4" t="s">
        <v>15</v>
      </c>
      <c r="F48" s="5">
        <v>11</v>
      </c>
      <c r="G48" s="4" t="s">
        <v>2347</v>
      </c>
      <c r="H48" s="4" t="s">
        <v>93</v>
      </c>
      <c r="I48" s="4" t="s">
        <v>2348</v>
      </c>
      <c r="J48" s="4" t="s">
        <v>49</v>
      </c>
      <c r="K48" s="4" t="s">
        <v>145</v>
      </c>
      <c r="M48" s="6" t="str">
        <f>HYPERLINK("http://maps.google.com/maps?f=q&amp;hl=en&amp;geocode=&amp;q=-28.82084,153.42092")</f>
        <v>http://maps.google.com/maps?f=q&amp;hl=en&amp;geocode=&amp;q=-28.82084,153.42092</v>
      </c>
    </row>
    <row r="49" spans="1:13" ht="60" x14ac:dyDescent="0.25">
      <c r="A49" s="4" t="s">
        <v>2344</v>
      </c>
      <c r="B49" s="4" t="s">
        <v>82</v>
      </c>
      <c r="C49" s="4" t="s">
        <v>14</v>
      </c>
      <c r="D49" s="4" t="s">
        <v>15</v>
      </c>
      <c r="F49" s="5">
        <v>14</v>
      </c>
      <c r="G49" s="4" t="s">
        <v>2345</v>
      </c>
      <c r="H49" s="4" t="s">
        <v>191</v>
      </c>
      <c r="J49" s="4" t="s">
        <v>31</v>
      </c>
      <c r="K49" s="4" t="s">
        <v>25</v>
      </c>
      <c r="M49" s="6" t="str">
        <f>HYPERLINK("http://maps.google.com/maps?f=q&amp;hl=en&amp;geocode=&amp;q=-28.53832,153.54972")</f>
        <v>http://maps.google.com/maps?f=q&amp;hl=en&amp;geocode=&amp;q=-28.53832,153.54972</v>
      </c>
    </row>
    <row r="50" spans="1:13" ht="60" x14ac:dyDescent="0.25">
      <c r="A50" s="4" t="s">
        <v>2340</v>
      </c>
      <c r="B50" s="4" t="s">
        <v>82</v>
      </c>
      <c r="C50" s="4" t="s">
        <v>70</v>
      </c>
      <c r="D50" s="4" t="s">
        <v>15</v>
      </c>
      <c r="F50" s="5">
        <v>41</v>
      </c>
      <c r="G50" s="4" t="s">
        <v>2341</v>
      </c>
      <c r="H50" s="4" t="s">
        <v>154</v>
      </c>
      <c r="I50" s="4" t="s">
        <v>2342</v>
      </c>
      <c r="J50" s="4" t="s">
        <v>237</v>
      </c>
      <c r="K50" s="4" t="s">
        <v>50</v>
      </c>
      <c r="L50" s="4" t="s">
        <v>2343</v>
      </c>
      <c r="M50" s="6" t="str">
        <f>HYPERLINK("http://maps.google.com/maps?f=q&amp;hl=en&amp;geocode=&amp;q=-28.51747,153.53847")</f>
        <v>http://maps.google.com/maps?f=q&amp;hl=en&amp;geocode=&amp;q=-28.51747,153.53847</v>
      </c>
    </row>
    <row r="51" spans="1:13" ht="75" x14ac:dyDescent="0.25">
      <c r="A51" s="4" t="s">
        <v>2336</v>
      </c>
      <c r="B51" s="4" t="s">
        <v>34</v>
      </c>
      <c r="C51" s="4" t="s">
        <v>14</v>
      </c>
      <c r="D51" s="4" t="s">
        <v>15</v>
      </c>
      <c r="F51" s="5">
        <v>25</v>
      </c>
      <c r="G51" s="4" t="s">
        <v>2337</v>
      </c>
      <c r="H51" s="4" t="s">
        <v>560</v>
      </c>
      <c r="I51" s="4" t="s">
        <v>2338</v>
      </c>
      <c r="J51" s="4" t="s">
        <v>224</v>
      </c>
      <c r="K51" s="4" t="s">
        <v>25</v>
      </c>
      <c r="L51" s="4" t="s">
        <v>2339</v>
      </c>
      <c r="M51" s="6" t="str">
        <f>HYPERLINK("http://maps.google.com/maps?f=q&amp;hl=en&amp;geocode=&amp;q=45.6093215942383,0.473859995603561")</f>
        <v>http://maps.google.com/maps?f=q&amp;hl=en&amp;geocode=&amp;q=45.6093215942383,0.473859995603561</v>
      </c>
    </row>
    <row r="52" spans="1:13" ht="60" x14ac:dyDescent="0.25">
      <c r="A52" s="4" t="s">
        <v>2333</v>
      </c>
      <c r="B52" s="4" t="s">
        <v>22</v>
      </c>
      <c r="C52" s="4" t="s">
        <v>14</v>
      </c>
      <c r="D52" s="4" t="s">
        <v>15</v>
      </c>
      <c r="F52" s="5">
        <v>222</v>
      </c>
      <c r="G52" s="4" t="s">
        <v>2334</v>
      </c>
      <c r="H52" s="4" t="s">
        <v>296</v>
      </c>
      <c r="I52" s="4" t="s">
        <v>2335</v>
      </c>
      <c r="J52" s="4" t="s">
        <v>38</v>
      </c>
      <c r="K52" s="4" t="s">
        <v>19</v>
      </c>
      <c r="M52" s="6" t="str">
        <f>HYPERLINK("http://maps.google.com/maps?f=q&amp;hl=en&amp;geocode=&amp;q=-28.24499,153.56861")</f>
        <v>http://maps.google.com/maps?f=q&amp;hl=en&amp;geocode=&amp;q=-28.24499,153.56861</v>
      </c>
    </row>
    <row r="53" spans="1:13" ht="75" x14ac:dyDescent="0.25">
      <c r="A53" s="4" t="s">
        <v>2329</v>
      </c>
      <c r="B53" s="4" t="s">
        <v>82</v>
      </c>
      <c r="C53" s="4" t="s">
        <v>70</v>
      </c>
      <c r="D53" s="4" t="s">
        <v>15</v>
      </c>
      <c r="F53" s="5">
        <v>10</v>
      </c>
      <c r="G53" s="4" t="s">
        <v>2330</v>
      </c>
      <c r="H53" s="4" t="s">
        <v>84</v>
      </c>
      <c r="I53" s="4" t="s">
        <v>2331</v>
      </c>
      <c r="J53" s="4" t="s">
        <v>38</v>
      </c>
      <c r="K53" s="4" t="s">
        <v>19</v>
      </c>
      <c r="L53" s="4" t="s">
        <v>2332</v>
      </c>
      <c r="M53" s="6" t="str">
        <f>HYPERLINK("http://maps.google.com/maps?f=q&amp;hl=en&amp;geocode=&amp;q=-28.64572,153.6095599")</f>
        <v>http://maps.google.com/maps?f=q&amp;hl=en&amp;geocode=&amp;q=-28.64572,153.6095599</v>
      </c>
    </row>
    <row r="54" spans="1:13" ht="60" x14ac:dyDescent="0.25">
      <c r="A54" s="4" t="s">
        <v>2327</v>
      </c>
      <c r="B54" s="4" t="s">
        <v>69</v>
      </c>
      <c r="C54" s="4" t="s">
        <v>14</v>
      </c>
      <c r="D54" s="4" t="s">
        <v>15</v>
      </c>
      <c r="F54" s="5">
        <v>51</v>
      </c>
      <c r="G54" s="4" t="s">
        <v>2328</v>
      </c>
      <c r="H54" s="4" t="s">
        <v>349</v>
      </c>
      <c r="J54" s="4" t="s">
        <v>117</v>
      </c>
      <c r="K54" s="4" t="s">
        <v>237</v>
      </c>
      <c r="M54" s="6" t="str">
        <f>HYPERLINK("http://maps.google.com/maps?f=q&amp;hl=en&amp;geocode=&amp;q=-29.67949,152.93738")</f>
        <v>http://maps.google.com/maps?f=q&amp;hl=en&amp;geocode=&amp;q=-29.67949,152.93738</v>
      </c>
    </row>
    <row r="55" spans="1:13" ht="60" x14ac:dyDescent="0.25">
      <c r="A55" s="4" t="s">
        <v>2324</v>
      </c>
      <c r="B55" s="4" t="s">
        <v>34</v>
      </c>
      <c r="C55" s="4" t="s">
        <v>70</v>
      </c>
      <c r="D55" s="4" t="s">
        <v>15</v>
      </c>
      <c r="F55" s="5">
        <v>1057</v>
      </c>
      <c r="G55" s="4" t="s">
        <v>2325</v>
      </c>
      <c r="H55" s="4" t="s">
        <v>2326</v>
      </c>
      <c r="J55" s="4" t="s">
        <v>19</v>
      </c>
      <c r="K55" s="4" t="s">
        <v>95</v>
      </c>
      <c r="M55" s="6" t="str">
        <f>HYPERLINK("http://maps.google.com/maps?f=q&amp;hl=en&amp;geocode=&amp;q=-28.66177,153.11449")</f>
        <v>http://maps.google.com/maps?f=q&amp;hl=en&amp;geocode=&amp;q=-28.66177,153.11449</v>
      </c>
    </row>
    <row r="56" spans="1:13" ht="60" x14ac:dyDescent="0.25">
      <c r="A56" s="4" t="s">
        <v>2321</v>
      </c>
      <c r="B56" s="4" t="s">
        <v>28</v>
      </c>
      <c r="C56" s="4" t="s">
        <v>14</v>
      </c>
      <c r="D56" s="4" t="s">
        <v>15</v>
      </c>
      <c r="F56" s="5">
        <v>2</v>
      </c>
      <c r="G56" s="4" t="s">
        <v>2322</v>
      </c>
      <c r="H56" s="4" t="s">
        <v>464</v>
      </c>
      <c r="I56" s="4" t="s">
        <v>2323</v>
      </c>
      <c r="J56" s="4" t="s">
        <v>25</v>
      </c>
      <c r="K56" s="4" t="s">
        <v>145</v>
      </c>
      <c r="M56" s="6" t="str">
        <f>HYPERLINK("http://maps.google.com/maps?f=q&amp;hl=en&amp;geocode=&amp;q=-28.8493,153.59136")</f>
        <v>http://maps.google.com/maps?f=q&amp;hl=en&amp;geocode=&amp;q=-28.8493,153.59136</v>
      </c>
    </row>
    <row r="57" spans="1:13" ht="60" x14ac:dyDescent="0.25">
      <c r="A57" s="4" t="s">
        <v>2317</v>
      </c>
      <c r="B57" s="4" t="s">
        <v>82</v>
      </c>
      <c r="C57" s="4" t="s">
        <v>14</v>
      </c>
      <c r="D57" s="4" t="s">
        <v>15</v>
      </c>
      <c r="F57" s="5">
        <v>7</v>
      </c>
      <c r="G57" s="4" t="s">
        <v>2318</v>
      </c>
      <c r="H57" s="4" t="s">
        <v>191</v>
      </c>
      <c r="I57" s="4" t="s">
        <v>2319</v>
      </c>
      <c r="J57" s="4" t="s">
        <v>31</v>
      </c>
      <c r="K57" s="4" t="s">
        <v>66</v>
      </c>
      <c r="L57" s="4" t="s">
        <v>2320</v>
      </c>
      <c r="M57" s="6" t="str">
        <f>HYPERLINK("http://maps.google.com/maps?f=q&amp;hl=en&amp;geocode=&amp;q=-28.5446,153.54615")</f>
        <v>http://maps.google.com/maps?f=q&amp;hl=en&amp;geocode=&amp;q=-28.5446,153.54615</v>
      </c>
    </row>
    <row r="58" spans="1:13" ht="60" x14ac:dyDescent="0.25">
      <c r="A58" s="4" t="s">
        <v>2313</v>
      </c>
      <c r="B58" s="4" t="s">
        <v>34</v>
      </c>
      <c r="C58" s="4" t="s">
        <v>14</v>
      </c>
      <c r="D58" s="4" t="s">
        <v>15</v>
      </c>
      <c r="F58" s="5">
        <v>4</v>
      </c>
      <c r="G58" s="4" t="s">
        <v>2314</v>
      </c>
      <c r="H58" s="4" t="s">
        <v>132</v>
      </c>
      <c r="I58" s="4" t="s">
        <v>2315</v>
      </c>
      <c r="J58" s="4" t="s">
        <v>38</v>
      </c>
      <c r="K58" s="4" t="s">
        <v>57</v>
      </c>
      <c r="L58" s="4" t="s">
        <v>2316</v>
      </c>
      <c r="M58" s="6" t="str">
        <f>HYPERLINK("http://maps.google.com/maps?f=q&amp;hl=en&amp;geocode=&amp;q=-28.82929,153.29327")</f>
        <v>http://maps.google.com/maps?f=q&amp;hl=en&amp;geocode=&amp;q=-28.82929,153.29327</v>
      </c>
    </row>
    <row r="59" spans="1:13" ht="75" x14ac:dyDescent="0.25">
      <c r="A59" s="4" t="s">
        <v>2309</v>
      </c>
      <c r="B59" s="4" t="s">
        <v>13</v>
      </c>
      <c r="C59" s="4" t="s">
        <v>70</v>
      </c>
      <c r="D59" s="4" t="s">
        <v>15</v>
      </c>
      <c r="F59" s="5">
        <v>3</v>
      </c>
      <c r="G59" s="4" t="s">
        <v>2310</v>
      </c>
      <c r="H59" s="4" t="s">
        <v>218</v>
      </c>
      <c r="I59" s="4" t="s">
        <v>2311</v>
      </c>
      <c r="J59" s="4" t="s">
        <v>74</v>
      </c>
      <c r="K59" s="4" t="s">
        <v>237</v>
      </c>
      <c r="L59" s="4" t="s">
        <v>2312</v>
      </c>
      <c r="M59" s="6" t="str">
        <f>HYPERLINK("http://maps.google.com/maps?f=q&amp;hl=en&amp;geocode=&amp;q=-28.85865,153.0577999")</f>
        <v>http://maps.google.com/maps?f=q&amp;hl=en&amp;geocode=&amp;q=-28.85865,153.0577999</v>
      </c>
    </row>
    <row r="60" spans="1:13" ht="60" x14ac:dyDescent="0.25">
      <c r="A60" s="4" t="s">
        <v>2306</v>
      </c>
      <c r="B60" s="4" t="s">
        <v>22</v>
      </c>
      <c r="C60" s="4" t="s">
        <v>70</v>
      </c>
      <c r="D60" s="4" t="s">
        <v>15</v>
      </c>
      <c r="F60" s="5">
        <v>14</v>
      </c>
      <c r="G60" s="4" t="s">
        <v>520</v>
      </c>
      <c r="H60" s="4" t="s">
        <v>2307</v>
      </c>
      <c r="I60" s="4" t="s">
        <v>2308</v>
      </c>
      <c r="J60" s="4" t="s">
        <v>57</v>
      </c>
      <c r="K60" s="4" t="s">
        <v>31</v>
      </c>
      <c r="L60" s="4" t="s">
        <v>251</v>
      </c>
      <c r="M60" s="6" t="str">
        <f>HYPERLINK("http://maps.google.com/maps?f=q&amp;hl=en&amp;geocode=&amp;q=-28.19289,153.5362")</f>
        <v>http://maps.google.com/maps?f=q&amp;hl=en&amp;geocode=&amp;q=-28.19289,153.5362</v>
      </c>
    </row>
    <row r="61" spans="1:13" ht="60" x14ac:dyDescent="0.25">
      <c r="A61" s="4" t="s">
        <v>2302</v>
      </c>
      <c r="B61" s="4" t="s">
        <v>28</v>
      </c>
      <c r="C61" s="4" t="s">
        <v>70</v>
      </c>
      <c r="D61" s="4" t="s">
        <v>15</v>
      </c>
      <c r="F61" s="5">
        <v>6</v>
      </c>
      <c r="G61" s="4" t="s">
        <v>2303</v>
      </c>
      <c r="H61" s="4" t="s">
        <v>223</v>
      </c>
      <c r="I61" s="4" t="s">
        <v>2304</v>
      </c>
      <c r="J61" s="4" t="s">
        <v>31</v>
      </c>
      <c r="K61" s="4" t="s">
        <v>224</v>
      </c>
      <c r="L61" s="4" t="s">
        <v>2305</v>
      </c>
      <c r="M61" s="6" t="str">
        <f>HYPERLINK("http://maps.google.com/maps?f=q&amp;hl=en&amp;geocode=&amp;q=-28.82729,153.60136")</f>
        <v>http://maps.google.com/maps?f=q&amp;hl=en&amp;geocode=&amp;q=-28.82729,153.60136</v>
      </c>
    </row>
    <row r="62" spans="1:13" ht="60" x14ac:dyDescent="0.25">
      <c r="A62" s="4" t="s">
        <v>2299</v>
      </c>
      <c r="B62" s="4" t="s">
        <v>13</v>
      </c>
      <c r="C62" s="4" t="s">
        <v>14</v>
      </c>
      <c r="D62" s="4" t="s">
        <v>15</v>
      </c>
      <c r="F62" s="5">
        <v>3</v>
      </c>
      <c r="G62" s="4" t="s">
        <v>2300</v>
      </c>
      <c r="H62" s="4" t="s">
        <v>218</v>
      </c>
      <c r="I62" s="4" t="s">
        <v>1374</v>
      </c>
      <c r="J62" s="4" t="s">
        <v>50</v>
      </c>
      <c r="K62" s="4" t="s">
        <v>19</v>
      </c>
      <c r="L62" s="4" t="s">
        <v>2301</v>
      </c>
      <c r="M62" s="6" t="str">
        <f>HYPERLINK("http://maps.google.com/maps?f=q&amp;hl=en&amp;geocode=&amp;q=-28.85032,153.04209")</f>
        <v>http://maps.google.com/maps?f=q&amp;hl=en&amp;geocode=&amp;q=-28.85032,153.04209</v>
      </c>
    </row>
    <row r="63" spans="1:13" ht="60" x14ac:dyDescent="0.25">
      <c r="A63" s="4" t="s">
        <v>2295</v>
      </c>
      <c r="B63" s="4" t="s">
        <v>22</v>
      </c>
      <c r="C63" s="4" t="s">
        <v>14</v>
      </c>
      <c r="D63" s="4" t="s">
        <v>41</v>
      </c>
      <c r="F63" s="5">
        <v>31</v>
      </c>
      <c r="G63" s="4" t="s">
        <v>2296</v>
      </c>
      <c r="H63" s="4" t="s">
        <v>24</v>
      </c>
      <c r="I63" s="4" t="s">
        <v>2297</v>
      </c>
      <c r="J63" s="4" t="s">
        <v>31</v>
      </c>
      <c r="K63" s="4" t="s">
        <v>18</v>
      </c>
      <c r="L63" s="4" t="s">
        <v>2298</v>
      </c>
      <c r="M63" s="6" t="str">
        <f>HYPERLINK("http://maps.google.com/maps?f=q&amp;hl=en&amp;geocode=&amp;q=-28.3379,153.57095")</f>
        <v>http://maps.google.com/maps?f=q&amp;hl=en&amp;geocode=&amp;q=-28.3379,153.57095</v>
      </c>
    </row>
    <row r="64" spans="1:13" ht="60" x14ac:dyDescent="0.25">
      <c r="A64" s="4" t="s">
        <v>2292</v>
      </c>
      <c r="B64" s="4" t="s">
        <v>22</v>
      </c>
      <c r="C64" s="4" t="s">
        <v>70</v>
      </c>
      <c r="D64" s="4" t="s">
        <v>15</v>
      </c>
      <c r="F64" s="5">
        <v>10</v>
      </c>
      <c r="G64" s="4" t="s">
        <v>2293</v>
      </c>
      <c r="H64" s="4" t="s">
        <v>165</v>
      </c>
      <c r="J64" s="4" t="s">
        <v>19</v>
      </c>
      <c r="K64" s="4" t="s">
        <v>31</v>
      </c>
      <c r="L64" s="4" t="s">
        <v>2294</v>
      </c>
      <c r="M64" s="6" t="str">
        <f>HYPERLINK("http://maps.google.com/maps?f=q&amp;hl=en&amp;geocode=&amp;q=-28.21272,153.52752")</f>
        <v>http://maps.google.com/maps?f=q&amp;hl=en&amp;geocode=&amp;q=-28.21272,153.52752</v>
      </c>
    </row>
    <row r="65" spans="1:13" ht="60" x14ac:dyDescent="0.25">
      <c r="A65" s="4" t="s">
        <v>2289</v>
      </c>
      <c r="B65" s="4" t="s">
        <v>34</v>
      </c>
      <c r="C65" s="4" t="s">
        <v>70</v>
      </c>
      <c r="D65" s="4" t="s">
        <v>15</v>
      </c>
      <c r="F65" s="5">
        <v>73</v>
      </c>
      <c r="G65" s="4" t="s">
        <v>2290</v>
      </c>
      <c r="H65" s="4" t="s">
        <v>565</v>
      </c>
      <c r="I65" s="4" t="s">
        <v>2291</v>
      </c>
      <c r="J65" s="4" t="s">
        <v>38</v>
      </c>
      <c r="K65" s="4" t="s">
        <v>117</v>
      </c>
      <c r="M65" s="6" t="str">
        <f>HYPERLINK("http://maps.google.com/maps?f=q&amp;hl=en&amp;geocode=&amp;q=-28.8169,153.27806")</f>
        <v>http://maps.google.com/maps?f=q&amp;hl=en&amp;geocode=&amp;q=-28.8169,153.27806</v>
      </c>
    </row>
    <row r="66" spans="1:13" ht="60" x14ac:dyDescent="0.25">
      <c r="A66" s="4" t="s">
        <v>2285</v>
      </c>
      <c r="B66" s="4" t="s">
        <v>82</v>
      </c>
      <c r="C66" s="4" t="s">
        <v>14</v>
      </c>
      <c r="D66" s="4" t="s">
        <v>41</v>
      </c>
      <c r="F66" s="5">
        <v>51</v>
      </c>
      <c r="G66" s="4" t="s">
        <v>1365</v>
      </c>
      <c r="H66" s="4" t="s">
        <v>2286</v>
      </c>
      <c r="I66" s="4" t="s">
        <v>2287</v>
      </c>
      <c r="J66" s="4" t="s">
        <v>237</v>
      </c>
      <c r="K66" s="4" t="s">
        <v>31</v>
      </c>
      <c r="L66" s="4" t="s">
        <v>2288</v>
      </c>
      <c r="M66" s="6" t="str">
        <f>HYPERLINK("http://maps.google.com/maps?f=q&amp;hl=en&amp;geocode=&amp;q=-28.64876,153.61818")</f>
        <v>http://maps.google.com/maps?f=q&amp;hl=en&amp;geocode=&amp;q=-28.64876,153.61818</v>
      </c>
    </row>
    <row r="67" spans="1:13" ht="60" x14ac:dyDescent="0.25">
      <c r="A67" s="4" t="s">
        <v>2282</v>
      </c>
      <c r="B67" s="4" t="s">
        <v>82</v>
      </c>
      <c r="C67" s="4" t="s">
        <v>70</v>
      </c>
      <c r="D67" s="4" t="s">
        <v>15</v>
      </c>
      <c r="F67" s="5">
        <v>436</v>
      </c>
      <c r="G67" s="4" t="s">
        <v>2283</v>
      </c>
      <c r="H67" s="4" t="s">
        <v>2284</v>
      </c>
      <c r="I67" s="4" t="s">
        <v>31</v>
      </c>
      <c r="J67" s="4" t="s">
        <v>18</v>
      </c>
      <c r="K67" s="4" t="s">
        <v>224</v>
      </c>
      <c r="M67" s="6" t="str">
        <f>HYPERLINK("http://maps.google.com/maps?f=q&amp;hl=en&amp;geocode=&amp;q=-28.68847,153.56526")</f>
        <v>http://maps.google.com/maps?f=q&amp;hl=en&amp;geocode=&amp;q=-28.68847,153.56526</v>
      </c>
    </row>
    <row r="68" spans="1:13" ht="60" x14ac:dyDescent="0.25">
      <c r="A68" s="4" t="s">
        <v>2278</v>
      </c>
      <c r="B68" s="4" t="s">
        <v>22</v>
      </c>
      <c r="C68" s="4" t="s">
        <v>14</v>
      </c>
      <c r="D68" s="4" t="s">
        <v>15</v>
      </c>
      <c r="F68" s="5">
        <v>4</v>
      </c>
      <c r="G68" s="4" t="s">
        <v>2279</v>
      </c>
      <c r="H68" s="4" t="s">
        <v>165</v>
      </c>
      <c r="I68" s="4" t="s">
        <v>2280</v>
      </c>
      <c r="J68" s="4" t="s">
        <v>38</v>
      </c>
      <c r="K68" s="4" t="s">
        <v>25</v>
      </c>
      <c r="L68" s="4" t="s">
        <v>2281</v>
      </c>
      <c r="M68" s="6" t="str">
        <f>HYPERLINK("http://maps.google.com/maps?f=q&amp;hl=en&amp;geocode=&amp;q=-28.21073,153.53147")</f>
        <v>http://maps.google.com/maps?f=q&amp;hl=en&amp;geocode=&amp;q=-28.21073,153.53147</v>
      </c>
    </row>
    <row r="69" spans="1:13" ht="60" x14ac:dyDescent="0.25">
      <c r="A69" s="4" t="s">
        <v>2274</v>
      </c>
      <c r="B69" s="4" t="s">
        <v>22</v>
      </c>
      <c r="C69" s="4" t="s">
        <v>14</v>
      </c>
      <c r="D69" s="4" t="s">
        <v>15</v>
      </c>
      <c r="F69" s="5">
        <v>53</v>
      </c>
      <c r="G69" s="4" t="s">
        <v>2275</v>
      </c>
      <c r="H69" s="4" t="s">
        <v>160</v>
      </c>
      <c r="I69" s="4" t="s">
        <v>2276</v>
      </c>
      <c r="J69" s="4" t="s">
        <v>19</v>
      </c>
      <c r="K69" s="4" t="s">
        <v>31</v>
      </c>
      <c r="L69" s="4" t="s">
        <v>2277</v>
      </c>
      <c r="M69" s="6" t="str">
        <f>HYPERLINK("http://maps.google.com/maps?f=q&amp;hl=en&amp;geocode=&amp;q=-28.19232,153.5047")</f>
        <v>http://maps.google.com/maps?f=q&amp;hl=en&amp;geocode=&amp;q=-28.19232,153.5047</v>
      </c>
    </row>
    <row r="70" spans="1:13" ht="60" x14ac:dyDescent="0.25">
      <c r="A70" s="4" t="s">
        <v>2269</v>
      </c>
      <c r="B70" s="4" t="s">
        <v>22</v>
      </c>
      <c r="C70" s="4" t="s">
        <v>14</v>
      </c>
      <c r="D70" s="4" t="s">
        <v>41</v>
      </c>
      <c r="F70" s="5">
        <v>100</v>
      </c>
      <c r="G70" s="4" t="s">
        <v>2270</v>
      </c>
      <c r="H70" s="4" t="s">
        <v>2271</v>
      </c>
      <c r="I70" s="4" t="s">
        <v>2272</v>
      </c>
      <c r="J70" s="4" t="s">
        <v>25</v>
      </c>
      <c r="K70" s="4" t="s">
        <v>145</v>
      </c>
      <c r="L70" s="4" t="s">
        <v>2273</v>
      </c>
      <c r="M70" s="6" t="str">
        <f>HYPERLINK("http://maps.google.com/maps?f=q&amp;hl=en&amp;geocode=&amp;q=-28.36736,153.43113")</f>
        <v>http://maps.google.com/maps?f=q&amp;hl=en&amp;geocode=&amp;q=-28.36736,153.43113</v>
      </c>
    </row>
    <row r="71" spans="1:13" ht="60" x14ac:dyDescent="0.25">
      <c r="A71" s="4" t="s">
        <v>2266</v>
      </c>
      <c r="B71" s="4" t="s">
        <v>69</v>
      </c>
      <c r="C71" s="4" t="s">
        <v>14</v>
      </c>
      <c r="D71" s="4" t="s">
        <v>15</v>
      </c>
      <c r="F71" s="5">
        <v>67</v>
      </c>
      <c r="G71" s="4" t="s">
        <v>2267</v>
      </c>
      <c r="H71" s="4" t="s">
        <v>72</v>
      </c>
      <c r="I71" s="4" t="s">
        <v>2268</v>
      </c>
      <c r="J71" s="4" t="s">
        <v>19</v>
      </c>
      <c r="K71" s="4" t="s">
        <v>145</v>
      </c>
      <c r="M71" s="6" t="str">
        <f>HYPERLINK("http://maps.google.com/maps?f=q&amp;hl=en&amp;geocode=&amp;q=-29.44093,153.36422")</f>
        <v>http://maps.google.com/maps?f=q&amp;hl=en&amp;geocode=&amp;q=-29.44093,153.36422</v>
      </c>
    </row>
    <row r="72" spans="1:13" ht="60" x14ac:dyDescent="0.25">
      <c r="A72" s="4" t="s">
        <v>2263</v>
      </c>
      <c r="B72" s="4" t="s">
        <v>28</v>
      </c>
      <c r="C72" s="4" t="s">
        <v>14</v>
      </c>
      <c r="D72" s="4" t="s">
        <v>15</v>
      </c>
      <c r="F72" s="5">
        <v>8</v>
      </c>
      <c r="G72" s="4" t="s">
        <v>2264</v>
      </c>
      <c r="H72" s="4" t="s">
        <v>107</v>
      </c>
      <c r="I72" s="4" t="s">
        <v>2265</v>
      </c>
      <c r="J72" s="4" t="s">
        <v>19</v>
      </c>
      <c r="K72" s="4" t="s">
        <v>31</v>
      </c>
      <c r="M72" s="6" t="str">
        <f>HYPERLINK("http://maps.google.com/maps?f=q&amp;hl=en&amp;geocode=&amp;q=-28.86795,153.53812")</f>
        <v>http://maps.google.com/maps?f=q&amp;hl=en&amp;geocode=&amp;q=-28.86795,153.53812</v>
      </c>
    </row>
    <row r="73" spans="1:13" ht="60" x14ac:dyDescent="0.25">
      <c r="A73" s="4" t="s">
        <v>2262</v>
      </c>
      <c r="B73" s="4" t="s">
        <v>22</v>
      </c>
      <c r="C73" s="4" t="s">
        <v>14</v>
      </c>
      <c r="D73" s="4" t="s">
        <v>15</v>
      </c>
      <c r="F73" s="5">
        <v>13</v>
      </c>
      <c r="G73" s="4" t="s">
        <v>748</v>
      </c>
      <c r="H73" s="4" t="s">
        <v>311</v>
      </c>
      <c r="J73" s="4" t="s">
        <v>74</v>
      </c>
      <c r="K73" s="4" t="s">
        <v>19</v>
      </c>
      <c r="M73" s="6" t="str">
        <f>HYPERLINK("http://maps.google.com/maps?f=q&amp;hl=en&amp;geocode=&amp;q=-28.24019,153.55327")</f>
        <v>http://maps.google.com/maps?f=q&amp;hl=en&amp;geocode=&amp;q=-28.24019,153.55327</v>
      </c>
    </row>
    <row r="74" spans="1:13" ht="60" x14ac:dyDescent="0.25">
      <c r="A74" s="4" t="s">
        <v>2260</v>
      </c>
      <c r="B74" s="4" t="s">
        <v>34</v>
      </c>
      <c r="C74" s="4" t="s">
        <v>14</v>
      </c>
      <c r="D74" s="4" t="s">
        <v>15</v>
      </c>
      <c r="F74" s="5">
        <v>19</v>
      </c>
      <c r="G74" s="4" t="s">
        <v>736</v>
      </c>
      <c r="H74" s="4" t="s">
        <v>61</v>
      </c>
      <c r="J74" s="4" t="s">
        <v>25</v>
      </c>
      <c r="K74" s="4" t="s">
        <v>31</v>
      </c>
      <c r="L74" s="4" t="s">
        <v>2261</v>
      </c>
      <c r="M74" s="6" t="str">
        <f>HYPERLINK("http://maps.google.com/maps?f=q&amp;hl=en&amp;geocode=&amp;q=-28.81698,153.33952")</f>
        <v>http://maps.google.com/maps?f=q&amp;hl=en&amp;geocode=&amp;q=-28.81698,153.33952</v>
      </c>
    </row>
    <row r="75" spans="1:13" ht="60" x14ac:dyDescent="0.25">
      <c r="A75" s="4" t="s">
        <v>2256</v>
      </c>
      <c r="B75" s="4" t="s">
        <v>34</v>
      </c>
      <c r="C75" s="4" t="s">
        <v>14</v>
      </c>
      <c r="D75" s="4" t="s">
        <v>15</v>
      </c>
      <c r="F75" s="5">
        <v>13</v>
      </c>
      <c r="G75" s="4" t="s">
        <v>2257</v>
      </c>
      <c r="H75" s="4" t="s">
        <v>61</v>
      </c>
      <c r="I75" s="4" t="s">
        <v>2258</v>
      </c>
      <c r="J75" s="4" t="s">
        <v>25</v>
      </c>
      <c r="K75" s="4" t="s">
        <v>18</v>
      </c>
      <c r="L75" s="4" t="s">
        <v>2259</v>
      </c>
      <c r="M75" s="6" t="str">
        <f>HYPERLINK("http://maps.google.com/maps?f=q&amp;hl=en&amp;geocode=&amp;q=-28.81648,153.33831")</f>
        <v>http://maps.google.com/maps?f=q&amp;hl=en&amp;geocode=&amp;q=-28.81648,153.33831</v>
      </c>
    </row>
    <row r="76" spans="1:13" ht="60" x14ac:dyDescent="0.25">
      <c r="A76" s="4" t="s">
        <v>2254</v>
      </c>
      <c r="B76" s="4" t="s">
        <v>34</v>
      </c>
      <c r="C76" s="4" t="s">
        <v>70</v>
      </c>
      <c r="D76" s="4" t="s">
        <v>41</v>
      </c>
      <c r="F76" s="5">
        <v>211</v>
      </c>
      <c r="G76" s="4" t="s">
        <v>185</v>
      </c>
      <c r="H76" s="4" t="s">
        <v>186</v>
      </c>
      <c r="I76" s="4" t="s">
        <v>2255</v>
      </c>
      <c r="J76" s="4" t="s">
        <v>38</v>
      </c>
      <c r="K76" s="4" t="s">
        <v>19</v>
      </c>
      <c r="L76" s="4" t="s">
        <v>1542</v>
      </c>
      <c r="M76" s="6" t="str">
        <f>HYPERLINK("http://maps.google.com/maps?f=q&amp;hl=en&amp;geocode=&amp;q=-28.80771,153.30154")</f>
        <v>http://maps.google.com/maps?f=q&amp;hl=en&amp;geocode=&amp;q=-28.80771,153.30154</v>
      </c>
    </row>
    <row r="77" spans="1:13" ht="60" x14ac:dyDescent="0.25">
      <c r="A77" s="4" t="s">
        <v>2251</v>
      </c>
      <c r="B77" s="4" t="s">
        <v>22</v>
      </c>
      <c r="C77" s="4" t="s">
        <v>14</v>
      </c>
      <c r="D77" s="4" t="s">
        <v>15</v>
      </c>
      <c r="F77" s="5" t="s">
        <v>158</v>
      </c>
      <c r="G77" s="4" t="s">
        <v>1407</v>
      </c>
      <c r="H77" s="4" t="s">
        <v>165</v>
      </c>
      <c r="I77" s="4" t="s">
        <v>2252</v>
      </c>
      <c r="J77" s="4" t="s">
        <v>117</v>
      </c>
      <c r="K77" s="4" t="s">
        <v>44</v>
      </c>
      <c r="L77" s="4" t="s">
        <v>2253</v>
      </c>
      <c r="M77" s="6" t="str">
        <f>HYPERLINK("http://maps.google.com/maps?f=q&amp;hl=en&amp;geocode=&amp;q=-28.21162,153.52885")</f>
        <v>http://maps.google.com/maps?f=q&amp;hl=en&amp;geocode=&amp;q=-28.21162,153.52885</v>
      </c>
    </row>
    <row r="78" spans="1:13" ht="60" x14ac:dyDescent="0.25">
      <c r="A78" s="4" t="s">
        <v>2248</v>
      </c>
      <c r="B78" s="4" t="s">
        <v>82</v>
      </c>
      <c r="C78" s="4" t="s">
        <v>70</v>
      </c>
      <c r="D78" s="4" t="s">
        <v>15</v>
      </c>
      <c r="F78" s="5">
        <v>46</v>
      </c>
      <c r="G78" s="4" t="s">
        <v>2249</v>
      </c>
      <c r="H78" s="4" t="s">
        <v>1050</v>
      </c>
      <c r="I78" s="4" t="s">
        <v>2250</v>
      </c>
      <c r="J78" s="4" t="s">
        <v>18</v>
      </c>
      <c r="K78" s="4" t="s">
        <v>19</v>
      </c>
      <c r="M78" s="6" t="str">
        <f>HYPERLINK("http://maps.google.com/maps?f=q&amp;hl=en&amp;geocode=&amp;q=-28.49803,153.54639")</f>
        <v>http://maps.google.com/maps?f=q&amp;hl=en&amp;geocode=&amp;q=-28.49803,153.54639</v>
      </c>
    </row>
    <row r="79" spans="1:13" ht="60" x14ac:dyDescent="0.25">
      <c r="A79" s="4" t="s">
        <v>2242</v>
      </c>
      <c r="B79" s="4" t="s">
        <v>28</v>
      </c>
      <c r="C79" s="4" t="s">
        <v>14</v>
      </c>
      <c r="D79" s="4" t="s">
        <v>677</v>
      </c>
      <c r="E79" s="4" t="s">
        <v>2243</v>
      </c>
      <c r="F79" s="5" t="s">
        <v>2244</v>
      </c>
      <c r="G79" s="4" t="s">
        <v>2245</v>
      </c>
      <c r="H79" s="4" t="s">
        <v>2246</v>
      </c>
      <c r="I79" s="4" t="s">
        <v>2247</v>
      </c>
      <c r="J79" s="4" t="s">
        <v>19</v>
      </c>
      <c r="K79" s="4" t="s">
        <v>25</v>
      </c>
      <c r="M79" s="6" t="str">
        <f>HYPERLINK("http://maps.google.com/maps?f=q&amp;hl=en&amp;geocode=&amp;q=-28.91177,153.43678")</f>
        <v>http://maps.google.com/maps?f=q&amp;hl=en&amp;geocode=&amp;q=-28.91177,153.43678</v>
      </c>
    </row>
    <row r="80" spans="1:13" ht="60" x14ac:dyDescent="0.25">
      <c r="A80" s="4" t="s">
        <v>2240</v>
      </c>
      <c r="B80" s="4" t="s">
        <v>22</v>
      </c>
      <c r="C80" s="4" t="s">
        <v>70</v>
      </c>
      <c r="D80" s="4" t="s">
        <v>41</v>
      </c>
      <c r="F80" s="5">
        <v>36</v>
      </c>
      <c r="G80" s="4" t="s">
        <v>2241</v>
      </c>
      <c r="H80" s="4" t="s">
        <v>231</v>
      </c>
      <c r="J80" s="4" t="s">
        <v>19</v>
      </c>
      <c r="K80" s="4" t="s">
        <v>19</v>
      </c>
      <c r="M80" s="6" t="str">
        <f>HYPERLINK("http://maps.google.com/maps?f=q&amp;hl=en&amp;geocode=&amp;q=-28.21322,153.49523")</f>
        <v>http://maps.google.com/maps?f=q&amp;hl=en&amp;geocode=&amp;q=-28.21322,153.49523</v>
      </c>
    </row>
    <row r="81" spans="1:13" ht="60" x14ac:dyDescent="0.25">
      <c r="A81" s="4" t="s">
        <v>2238</v>
      </c>
      <c r="B81" s="4" t="s">
        <v>82</v>
      </c>
      <c r="C81" s="4" t="s">
        <v>14</v>
      </c>
      <c r="D81" s="4" t="s">
        <v>15</v>
      </c>
      <c r="F81" s="5">
        <v>74</v>
      </c>
      <c r="G81" s="4" t="s">
        <v>2183</v>
      </c>
      <c r="H81" s="4" t="s">
        <v>194</v>
      </c>
      <c r="I81" s="4" t="s">
        <v>2239</v>
      </c>
      <c r="J81" s="4" t="s">
        <v>38</v>
      </c>
      <c r="K81" s="4" t="s">
        <v>18</v>
      </c>
      <c r="M81" s="6" t="str">
        <f>HYPERLINK("http://maps.google.com/maps?f=q&amp;hl=en&amp;geocode=&amp;q=-28.55488,153.50241")</f>
        <v>http://maps.google.com/maps?f=q&amp;hl=en&amp;geocode=&amp;q=-28.55488,153.50241</v>
      </c>
    </row>
    <row r="82" spans="1:13" ht="60" x14ac:dyDescent="0.25">
      <c r="A82" s="4" t="s">
        <v>2233</v>
      </c>
      <c r="B82" s="4" t="s">
        <v>22</v>
      </c>
      <c r="C82" s="4" t="s">
        <v>70</v>
      </c>
      <c r="D82" s="4" t="s">
        <v>15</v>
      </c>
      <c r="F82" s="5">
        <v>12</v>
      </c>
      <c r="G82" s="4" t="s">
        <v>2234</v>
      </c>
      <c r="H82" s="4" t="s">
        <v>2235</v>
      </c>
      <c r="I82" s="4" t="s">
        <v>2236</v>
      </c>
      <c r="J82" s="4" t="s">
        <v>31</v>
      </c>
      <c r="K82" s="4" t="s">
        <v>25</v>
      </c>
      <c r="L82" s="4" t="s">
        <v>2237</v>
      </c>
      <c r="M82" s="6" t="str">
        <f>HYPERLINK("http://maps.google.com/maps?f=q&amp;hl=en&amp;geocode=&amp;q=-28.33049,153.5665")</f>
        <v>http://maps.google.com/maps?f=q&amp;hl=en&amp;geocode=&amp;q=-28.33049,153.5665</v>
      </c>
    </row>
    <row r="83" spans="1:13" ht="60" x14ac:dyDescent="0.25">
      <c r="A83" s="4" t="s">
        <v>2231</v>
      </c>
      <c r="B83" s="4" t="s">
        <v>22</v>
      </c>
      <c r="C83" s="4" t="s">
        <v>14</v>
      </c>
      <c r="D83" s="4" t="s">
        <v>15</v>
      </c>
      <c r="F83" s="5">
        <v>13</v>
      </c>
      <c r="G83" s="4" t="s">
        <v>2137</v>
      </c>
      <c r="H83" s="4" t="s">
        <v>55</v>
      </c>
      <c r="I83" s="4" t="s">
        <v>2232</v>
      </c>
      <c r="J83" s="4" t="s">
        <v>224</v>
      </c>
      <c r="M83" s="6" t="str">
        <f>HYPERLINK("http://maps.google.com/maps?f=q&amp;hl=en&amp;geocode=&amp;q=-28.1811,153.52573")</f>
        <v>http://maps.google.com/maps?f=q&amp;hl=en&amp;geocode=&amp;q=-28.1811,153.52573</v>
      </c>
    </row>
    <row r="84" spans="1:13" ht="75" x14ac:dyDescent="0.25">
      <c r="A84" s="4" t="s">
        <v>2228</v>
      </c>
      <c r="B84" s="4" t="s">
        <v>22</v>
      </c>
      <c r="C84" s="4" t="s">
        <v>14</v>
      </c>
      <c r="D84" s="4" t="s">
        <v>15</v>
      </c>
      <c r="F84" s="5">
        <v>10</v>
      </c>
      <c r="G84" s="4" t="s">
        <v>2229</v>
      </c>
      <c r="H84" s="4" t="s">
        <v>110</v>
      </c>
      <c r="I84" s="4" t="s">
        <v>2230</v>
      </c>
      <c r="J84" s="4" t="s">
        <v>50</v>
      </c>
      <c r="K84" s="4" t="s">
        <v>117</v>
      </c>
      <c r="M84" s="6" t="str">
        <f>HYPERLINK("http://maps.google.com/maps?f=q&amp;hl=en&amp;geocode=&amp;q=-28.3266,153.4006599")</f>
        <v>http://maps.google.com/maps?f=q&amp;hl=en&amp;geocode=&amp;q=-28.3266,153.4006599</v>
      </c>
    </row>
    <row r="85" spans="1:13" ht="60" x14ac:dyDescent="0.25">
      <c r="A85" s="4" t="s">
        <v>2225</v>
      </c>
      <c r="B85" s="4" t="s">
        <v>13</v>
      </c>
      <c r="C85" s="4" t="s">
        <v>14</v>
      </c>
      <c r="D85" s="4" t="s">
        <v>15</v>
      </c>
      <c r="F85" s="5">
        <v>15</v>
      </c>
      <c r="G85" s="4" t="s">
        <v>825</v>
      </c>
      <c r="H85" s="4" t="s">
        <v>218</v>
      </c>
      <c r="I85" s="4" t="s">
        <v>2226</v>
      </c>
      <c r="J85" s="4" t="s">
        <v>38</v>
      </c>
      <c r="K85" s="4" t="s">
        <v>19</v>
      </c>
      <c r="L85" s="4" t="s">
        <v>2227</v>
      </c>
      <c r="M85" s="6" t="str">
        <f>HYPERLINK("http://maps.google.com/maps?f=q&amp;hl=en&amp;geocode=&amp;q=-28.87366,153.04288")</f>
        <v>http://maps.google.com/maps?f=q&amp;hl=en&amp;geocode=&amp;q=-28.87366,153.04288</v>
      </c>
    </row>
    <row r="86" spans="1:13" ht="60" x14ac:dyDescent="0.25">
      <c r="A86" s="4" t="s">
        <v>2221</v>
      </c>
      <c r="B86" s="4" t="s">
        <v>28</v>
      </c>
      <c r="C86" s="4" t="s">
        <v>14</v>
      </c>
      <c r="D86" s="4" t="s">
        <v>15</v>
      </c>
      <c r="F86" s="5">
        <v>41</v>
      </c>
      <c r="G86" s="4" t="s">
        <v>2222</v>
      </c>
      <c r="H86" s="4" t="s">
        <v>107</v>
      </c>
      <c r="I86" s="4" t="s">
        <v>2223</v>
      </c>
      <c r="J86" s="4" t="s">
        <v>19</v>
      </c>
      <c r="K86" s="4" t="s">
        <v>117</v>
      </c>
      <c r="L86" s="4" t="s">
        <v>2224</v>
      </c>
      <c r="M86" s="6" t="str">
        <f>HYPERLINK("http://maps.google.com/maps?f=q&amp;hl=en&amp;geocode=&amp;q=-28.86719,153.56633")</f>
        <v>http://maps.google.com/maps?f=q&amp;hl=en&amp;geocode=&amp;q=-28.86719,153.56633</v>
      </c>
    </row>
    <row r="87" spans="1:13" ht="60" x14ac:dyDescent="0.25">
      <c r="A87" s="4" t="s">
        <v>2220</v>
      </c>
      <c r="B87" s="4" t="s">
        <v>82</v>
      </c>
      <c r="C87" s="4" t="s">
        <v>14</v>
      </c>
      <c r="D87" s="4" t="s">
        <v>15</v>
      </c>
      <c r="F87" s="5">
        <v>7</v>
      </c>
      <c r="G87" s="4" t="s">
        <v>630</v>
      </c>
      <c r="H87" s="4" t="s">
        <v>631</v>
      </c>
      <c r="J87" s="4" t="s">
        <v>25</v>
      </c>
      <c r="K87" s="4" t="s">
        <v>31</v>
      </c>
      <c r="M87" s="6" t="str">
        <f>HYPERLINK("http://maps.google.com/maps?f=q&amp;hl=en&amp;geocode=&amp;q=-28.68089,153.52633")</f>
        <v>http://maps.google.com/maps?f=q&amp;hl=en&amp;geocode=&amp;q=-28.68089,153.52633</v>
      </c>
    </row>
    <row r="88" spans="1:13" ht="60" x14ac:dyDescent="0.25">
      <c r="A88" s="4" t="s">
        <v>2218</v>
      </c>
      <c r="B88" s="4" t="s">
        <v>22</v>
      </c>
      <c r="C88" s="4" t="s">
        <v>70</v>
      </c>
      <c r="D88" s="4" t="s">
        <v>15</v>
      </c>
      <c r="F88" s="5">
        <v>19</v>
      </c>
      <c r="G88" s="4" t="s">
        <v>2219</v>
      </c>
      <c r="H88" s="4" t="s">
        <v>231</v>
      </c>
      <c r="M88" s="6" t="str">
        <f>HYPERLINK("http://maps.google.com/maps?f=q&amp;hl=en&amp;geocode=&amp;q=-28.21435,153.48906")</f>
        <v>http://maps.google.com/maps?f=q&amp;hl=en&amp;geocode=&amp;q=-28.21435,153.48906</v>
      </c>
    </row>
    <row r="89" spans="1:13" ht="60" x14ac:dyDescent="0.25">
      <c r="A89" s="4" t="s">
        <v>2217</v>
      </c>
      <c r="B89" s="4" t="s">
        <v>22</v>
      </c>
      <c r="C89" s="4" t="s">
        <v>14</v>
      </c>
      <c r="D89" s="4" t="s">
        <v>677</v>
      </c>
      <c r="E89" s="4" t="s">
        <v>2212</v>
      </c>
      <c r="F89" s="5" t="s">
        <v>2213</v>
      </c>
      <c r="G89" s="4" t="s">
        <v>2214</v>
      </c>
      <c r="H89" s="4" t="s">
        <v>55</v>
      </c>
      <c r="J89" s="4" t="s">
        <v>25</v>
      </c>
      <c r="K89" s="4" t="s">
        <v>19</v>
      </c>
      <c r="L89" s="4" t="s">
        <v>2215</v>
      </c>
      <c r="M89" s="6" t="str">
        <f>HYPERLINK("http://maps.google.com/maps?f=q&amp;hl=en&amp;geocode=&amp;q=-28.20493,153.53839")</f>
        <v>http://maps.google.com/maps?f=q&amp;hl=en&amp;geocode=&amp;q=-28.20493,153.53839</v>
      </c>
    </row>
    <row r="90" spans="1:13" ht="60" x14ac:dyDescent="0.25">
      <c r="A90" s="4" t="s">
        <v>2216</v>
      </c>
      <c r="B90" s="4" t="s">
        <v>28</v>
      </c>
      <c r="C90" s="4" t="s">
        <v>70</v>
      </c>
      <c r="D90" s="4" t="s">
        <v>41</v>
      </c>
      <c r="F90" s="5">
        <v>37</v>
      </c>
      <c r="G90" s="4" t="s">
        <v>92</v>
      </c>
      <c r="H90" s="4" t="s">
        <v>93</v>
      </c>
      <c r="J90" s="4" t="s">
        <v>19</v>
      </c>
      <c r="K90" s="4" t="s">
        <v>25</v>
      </c>
      <c r="M90" s="6" t="str">
        <f>HYPERLINK("http://maps.google.com/maps?f=q&amp;hl=en&amp;geocode=&amp;q=-28.82179,153.41637")</f>
        <v>http://maps.google.com/maps?f=q&amp;hl=en&amp;geocode=&amp;q=-28.82179,153.41637</v>
      </c>
    </row>
    <row r="91" spans="1:13" ht="60" x14ac:dyDescent="0.25">
      <c r="A91" s="4" t="s">
        <v>2211</v>
      </c>
      <c r="B91" s="4" t="s">
        <v>22</v>
      </c>
      <c r="C91" s="4" t="s">
        <v>14</v>
      </c>
      <c r="D91" s="4" t="s">
        <v>677</v>
      </c>
      <c r="E91" s="4" t="s">
        <v>2212</v>
      </c>
      <c r="F91" s="5" t="s">
        <v>2213</v>
      </c>
      <c r="G91" s="4" t="s">
        <v>2214</v>
      </c>
      <c r="H91" s="4" t="s">
        <v>55</v>
      </c>
      <c r="J91" s="4" t="s">
        <v>25</v>
      </c>
      <c r="K91" s="4" t="s">
        <v>19</v>
      </c>
      <c r="L91" s="4" t="s">
        <v>2215</v>
      </c>
      <c r="M91" s="6" t="str">
        <f>HYPERLINK("http://maps.google.com/maps?f=q&amp;hl=en&amp;geocode=&amp;q=-28.20493,153.53839")</f>
        <v>http://maps.google.com/maps?f=q&amp;hl=en&amp;geocode=&amp;q=-28.20493,153.53839</v>
      </c>
    </row>
    <row r="92" spans="1:13" ht="60" x14ac:dyDescent="0.25">
      <c r="A92" s="4" t="s">
        <v>2207</v>
      </c>
      <c r="B92" s="4" t="s">
        <v>22</v>
      </c>
      <c r="C92" s="4" t="s">
        <v>70</v>
      </c>
      <c r="D92" s="4" t="s">
        <v>15</v>
      </c>
      <c r="F92" s="5">
        <v>4</v>
      </c>
      <c r="G92" s="4" t="s">
        <v>2208</v>
      </c>
      <c r="H92" s="4" t="s">
        <v>296</v>
      </c>
      <c r="I92" s="4" t="s">
        <v>2209</v>
      </c>
      <c r="J92" s="4" t="s">
        <v>117</v>
      </c>
      <c r="K92" s="4" t="s">
        <v>31</v>
      </c>
      <c r="L92" s="4" t="s">
        <v>2210</v>
      </c>
      <c r="M92" s="6" t="str">
        <f>HYPERLINK("http://maps.google.com/maps?f=q&amp;hl=en&amp;geocode=&amp;q=-28.26345,153.5709")</f>
        <v>http://maps.google.com/maps?f=q&amp;hl=en&amp;geocode=&amp;q=-28.26345,153.5709</v>
      </c>
    </row>
    <row r="93" spans="1:13" ht="60" x14ac:dyDescent="0.25">
      <c r="A93" s="4" t="s">
        <v>2206</v>
      </c>
      <c r="B93" s="4" t="s">
        <v>34</v>
      </c>
      <c r="C93" s="4" t="s">
        <v>14</v>
      </c>
      <c r="D93" s="4" t="s">
        <v>15</v>
      </c>
      <c r="F93" s="5">
        <v>4</v>
      </c>
      <c r="G93" s="4" t="s">
        <v>2174</v>
      </c>
      <c r="H93" s="4" t="s">
        <v>61</v>
      </c>
      <c r="J93" s="4" t="s">
        <v>19</v>
      </c>
      <c r="K93" s="4" t="s">
        <v>237</v>
      </c>
      <c r="M93" s="6" t="str">
        <f>HYPERLINK("http://maps.google.com/maps?f=q&amp;hl=en&amp;geocode=&amp;q=-28.81388,153.31002")</f>
        <v>http://maps.google.com/maps?f=q&amp;hl=en&amp;geocode=&amp;q=-28.81388,153.31002</v>
      </c>
    </row>
    <row r="94" spans="1:13" ht="60" x14ac:dyDescent="0.25">
      <c r="A94" s="4" t="s">
        <v>2204</v>
      </c>
      <c r="B94" s="4" t="s">
        <v>69</v>
      </c>
      <c r="C94" s="4" t="s">
        <v>14</v>
      </c>
      <c r="D94" s="4" t="s">
        <v>15</v>
      </c>
      <c r="F94" s="5">
        <v>41</v>
      </c>
      <c r="G94" s="4" t="s">
        <v>2205</v>
      </c>
      <c r="H94" s="4" t="s">
        <v>349</v>
      </c>
      <c r="I94" s="4" t="s">
        <v>337</v>
      </c>
      <c r="J94" s="4" t="s">
        <v>31</v>
      </c>
      <c r="K94" s="4" t="s">
        <v>19</v>
      </c>
      <c r="M94" s="6" t="str">
        <f>HYPERLINK("http://maps.google.com/maps?f=q&amp;hl=en&amp;geocode=&amp;q=-29.69214,152.94197")</f>
        <v>http://maps.google.com/maps?f=q&amp;hl=en&amp;geocode=&amp;q=-29.69214,152.94197</v>
      </c>
    </row>
    <row r="95" spans="1:13" ht="60" x14ac:dyDescent="0.25">
      <c r="A95" s="4" t="s">
        <v>2200</v>
      </c>
      <c r="B95" s="4" t="s">
        <v>69</v>
      </c>
      <c r="C95" s="4" t="s">
        <v>14</v>
      </c>
      <c r="D95" s="4" t="s">
        <v>15</v>
      </c>
      <c r="F95" s="5">
        <v>26</v>
      </c>
      <c r="G95" s="4" t="s">
        <v>883</v>
      </c>
      <c r="H95" s="4" t="s">
        <v>2201</v>
      </c>
      <c r="I95" s="4" t="s">
        <v>2202</v>
      </c>
      <c r="J95" s="4" t="s">
        <v>25</v>
      </c>
      <c r="K95" s="4" t="s">
        <v>31</v>
      </c>
      <c r="L95" s="4" t="s">
        <v>2203</v>
      </c>
      <c r="M95" s="6" t="str">
        <f>HYPERLINK("http://maps.google.com/maps?f=q&amp;hl=en&amp;geocode=&amp;q=-29.66109,153.10671")</f>
        <v>http://maps.google.com/maps?f=q&amp;hl=en&amp;geocode=&amp;q=-29.66109,153.10671</v>
      </c>
    </row>
    <row r="96" spans="1:13" ht="60" x14ac:dyDescent="0.25">
      <c r="A96" s="4" t="s">
        <v>2198</v>
      </c>
      <c r="B96" s="4" t="s">
        <v>28</v>
      </c>
      <c r="C96" s="4" t="s">
        <v>14</v>
      </c>
      <c r="D96" s="4" t="s">
        <v>15</v>
      </c>
      <c r="F96" s="5" t="s">
        <v>2199</v>
      </c>
      <c r="G96" s="4" t="s">
        <v>1040</v>
      </c>
      <c r="H96" s="4" t="s">
        <v>30</v>
      </c>
      <c r="J96" s="4" t="s">
        <v>49</v>
      </c>
      <c r="K96" s="4" t="s">
        <v>145</v>
      </c>
      <c r="M96" s="6" t="str">
        <f>HYPERLINK("http://maps.google.com/maps?f=q&amp;hl=en&amp;geocode=&amp;q=-28.78646,153.59069")</f>
        <v>http://maps.google.com/maps?f=q&amp;hl=en&amp;geocode=&amp;q=-28.78646,153.59069</v>
      </c>
    </row>
    <row r="97" spans="1:13" ht="60" x14ac:dyDescent="0.25">
      <c r="A97" s="4" t="s">
        <v>2196</v>
      </c>
      <c r="B97" s="4" t="s">
        <v>82</v>
      </c>
      <c r="C97" s="4" t="s">
        <v>14</v>
      </c>
      <c r="D97" s="4" t="s">
        <v>41</v>
      </c>
      <c r="F97" s="5">
        <v>112</v>
      </c>
      <c r="G97" s="4" t="s">
        <v>1888</v>
      </c>
      <c r="H97" s="4" t="s">
        <v>84</v>
      </c>
      <c r="I97" s="4" t="s">
        <v>2197</v>
      </c>
      <c r="J97" s="4" t="s">
        <v>19</v>
      </c>
      <c r="K97" s="4" t="s">
        <v>18</v>
      </c>
      <c r="M97" s="6" t="str">
        <f>HYPERLINK("http://maps.google.com/maps?f=q&amp;hl=en&amp;geocode=&amp;q=-28.65427,153.61742")</f>
        <v>http://maps.google.com/maps?f=q&amp;hl=en&amp;geocode=&amp;q=-28.65427,153.61742</v>
      </c>
    </row>
    <row r="98" spans="1:13" ht="60" x14ac:dyDescent="0.25">
      <c r="A98" s="4" t="s">
        <v>2190</v>
      </c>
      <c r="B98" s="4" t="s">
        <v>69</v>
      </c>
      <c r="C98" s="4" t="s">
        <v>70</v>
      </c>
      <c r="D98" s="4" t="s">
        <v>1142</v>
      </c>
      <c r="E98" s="4" t="s">
        <v>2191</v>
      </c>
      <c r="F98" s="5" t="s">
        <v>2192</v>
      </c>
      <c r="G98" s="4" t="s">
        <v>2193</v>
      </c>
      <c r="H98" s="4" t="s">
        <v>765</v>
      </c>
      <c r="I98" s="4" t="s">
        <v>2194</v>
      </c>
      <c r="J98" s="4" t="s">
        <v>74</v>
      </c>
      <c r="K98" s="4" t="s">
        <v>19</v>
      </c>
      <c r="L98" s="4" t="s">
        <v>2195</v>
      </c>
      <c r="M98" s="6" t="str">
        <f>HYPERLINK("http://maps.google.com/maps?f=q&amp;hl=en&amp;geocode=&amp;q=-29.70335,152.93849")</f>
        <v>http://maps.google.com/maps?f=q&amp;hl=en&amp;geocode=&amp;q=-29.70335,152.93849</v>
      </c>
    </row>
    <row r="99" spans="1:13" ht="60" x14ac:dyDescent="0.25">
      <c r="A99" s="4" t="s">
        <v>2189</v>
      </c>
      <c r="B99" s="4" t="s">
        <v>13</v>
      </c>
      <c r="C99" s="4" t="s">
        <v>14</v>
      </c>
      <c r="D99" s="4" t="s">
        <v>15</v>
      </c>
      <c r="F99" s="5">
        <v>48</v>
      </c>
      <c r="G99" s="4" t="s">
        <v>535</v>
      </c>
      <c r="H99" s="4" t="s">
        <v>218</v>
      </c>
      <c r="J99" s="4" t="s">
        <v>49</v>
      </c>
      <c r="K99" s="4" t="s">
        <v>19</v>
      </c>
      <c r="L99" s="4" t="s">
        <v>73</v>
      </c>
      <c r="M99" s="6" t="str">
        <f>HYPERLINK("http://maps.google.com/maps?f=q&amp;hl=en&amp;geocode=&amp;q=-28.80882,153.26544")</f>
        <v>http://maps.google.com/maps?f=q&amp;hl=en&amp;geocode=&amp;q=-28.80882,153.26544</v>
      </c>
    </row>
    <row r="100" spans="1:13" ht="60" x14ac:dyDescent="0.25">
      <c r="A100" s="4" t="s">
        <v>2186</v>
      </c>
      <c r="B100" s="4" t="s">
        <v>34</v>
      </c>
      <c r="C100" s="4" t="s">
        <v>14</v>
      </c>
      <c r="D100" s="4" t="s">
        <v>15</v>
      </c>
      <c r="F100" s="5">
        <v>19</v>
      </c>
      <c r="G100" s="4" t="s">
        <v>2187</v>
      </c>
      <c r="H100" s="4" t="s">
        <v>61</v>
      </c>
      <c r="I100" s="4" t="s">
        <v>31</v>
      </c>
      <c r="J100" s="4" t="s">
        <v>31</v>
      </c>
      <c r="K100" s="4" t="s">
        <v>25</v>
      </c>
      <c r="L100" s="4" t="s">
        <v>2188</v>
      </c>
      <c r="M100" s="6" t="str">
        <f>HYPERLINK("http://maps.google.com/maps?f=q&amp;hl=en&amp;geocode=&amp;q=-28.80751,153.34529")</f>
        <v>http://maps.google.com/maps?f=q&amp;hl=en&amp;geocode=&amp;q=-28.80751,153.34529</v>
      </c>
    </row>
    <row r="101" spans="1:13" ht="60" x14ac:dyDescent="0.25">
      <c r="A101" s="4" t="s">
        <v>2182</v>
      </c>
      <c r="B101" s="4" t="s">
        <v>22</v>
      </c>
      <c r="C101" s="4" t="s">
        <v>70</v>
      </c>
      <c r="D101" s="4" t="s">
        <v>41</v>
      </c>
      <c r="F101" s="5">
        <v>32</v>
      </c>
      <c r="G101" s="4" t="s">
        <v>2183</v>
      </c>
      <c r="H101" s="4" t="s">
        <v>2184</v>
      </c>
      <c r="J101" s="4" t="s">
        <v>19</v>
      </c>
      <c r="K101" s="4" t="s">
        <v>145</v>
      </c>
      <c r="L101" s="4" t="s">
        <v>2185</v>
      </c>
      <c r="M101" s="6" t="str">
        <f>HYPERLINK("http://maps.google.com/maps?f=q&amp;hl=en&amp;geocode=&amp;q=-28.43376,153.46854")</f>
        <v>http://maps.google.com/maps?f=q&amp;hl=en&amp;geocode=&amp;q=-28.43376,153.46854</v>
      </c>
    </row>
    <row r="102" spans="1:13" ht="60" x14ac:dyDescent="0.25">
      <c r="A102" s="4" t="s">
        <v>2178</v>
      </c>
      <c r="B102" s="4" t="s">
        <v>22</v>
      </c>
      <c r="C102" s="4" t="s">
        <v>70</v>
      </c>
      <c r="D102" s="4" t="s">
        <v>15</v>
      </c>
      <c r="F102" s="5" t="s">
        <v>1304</v>
      </c>
      <c r="G102" s="4" t="s">
        <v>2179</v>
      </c>
      <c r="H102" s="4" t="s">
        <v>521</v>
      </c>
      <c r="I102" s="4" t="s">
        <v>2180</v>
      </c>
      <c r="J102" s="4" t="s">
        <v>492</v>
      </c>
      <c r="K102" s="4" t="s">
        <v>224</v>
      </c>
      <c r="L102" s="4" t="s">
        <v>2181</v>
      </c>
      <c r="M102" s="6" t="str">
        <f>HYPERLINK("http://maps.google.com/maps?f=q&amp;hl=en&amp;geocode=&amp;q=-28.20487,153.54581")</f>
        <v>http://maps.google.com/maps?f=q&amp;hl=en&amp;geocode=&amp;q=-28.20487,153.54581</v>
      </c>
    </row>
    <row r="103" spans="1:13" ht="60" x14ac:dyDescent="0.25">
      <c r="A103" s="4" t="s">
        <v>2176</v>
      </c>
      <c r="B103" s="4" t="s">
        <v>22</v>
      </c>
      <c r="C103" s="4" t="s">
        <v>70</v>
      </c>
      <c r="D103" s="4" t="s">
        <v>15</v>
      </c>
      <c r="F103" s="5">
        <v>37</v>
      </c>
      <c r="G103" s="4" t="s">
        <v>1762</v>
      </c>
      <c r="H103" s="4" t="s">
        <v>110</v>
      </c>
      <c r="J103" s="4" t="s">
        <v>25</v>
      </c>
      <c r="K103" s="4" t="s">
        <v>145</v>
      </c>
      <c r="L103" s="4" t="s">
        <v>2177</v>
      </c>
      <c r="M103" s="6" t="str">
        <f>HYPERLINK("http://maps.google.com/maps?f=q&amp;hl=en&amp;geocode=&amp;q=-28.33307,153.36598")</f>
        <v>http://maps.google.com/maps?f=q&amp;hl=en&amp;geocode=&amp;q=-28.33307,153.36598</v>
      </c>
    </row>
    <row r="104" spans="1:13" ht="60" x14ac:dyDescent="0.25">
      <c r="A104" s="4" t="s">
        <v>2173</v>
      </c>
      <c r="B104" s="4" t="s">
        <v>34</v>
      </c>
      <c r="C104" s="4" t="s">
        <v>14</v>
      </c>
      <c r="D104" s="4" t="s">
        <v>15</v>
      </c>
      <c r="F104" s="5">
        <v>3</v>
      </c>
      <c r="G104" s="4" t="s">
        <v>2174</v>
      </c>
      <c r="H104" s="4" t="s">
        <v>61</v>
      </c>
      <c r="J104" s="4" t="s">
        <v>19</v>
      </c>
      <c r="K104" s="4" t="s">
        <v>25</v>
      </c>
      <c r="L104" s="4" t="s">
        <v>2175</v>
      </c>
      <c r="M104" s="6" t="str">
        <f>HYPERLINK("http://maps.google.com/maps?f=q&amp;hl=en&amp;geocode=&amp;q=-28.81408,153.31039")</f>
        <v>http://maps.google.com/maps?f=q&amp;hl=en&amp;geocode=&amp;q=-28.81408,153.31039</v>
      </c>
    </row>
    <row r="105" spans="1:13" ht="60" x14ac:dyDescent="0.25">
      <c r="A105" s="4" t="s">
        <v>2168</v>
      </c>
      <c r="B105" s="4" t="s">
        <v>22</v>
      </c>
      <c r="C105" s="4" t="s">
        <v>14</v>
      </c>
      <c r="D105" s="4" t="s">
        <v>15</v>
      </c>
      <c r="F105" s="5" t="s">
        <v>2169</v>
      </c>
      <c r="G105" s="4" t="s">
        <v>2170</v>
      </c>
      <c r="H105" s="4" t="s">
        <v>55</v>
      </c>
      <c r="I105" s="4" t="s">
        <v>2171</v>
      </c>
      <c r="J105" s="4" t="s">
        <v>25</v>
      </c>
      <c r="K105" s="4" t="s">
        <v>18</v>
      </c>
      <c r="L105" s="4" t="s">
        <v>2172</v>
      </c>
      <c r="M105" s="6" t="str">
        <f>HYPERLINK("http://maps.google.com/maps?f=q&amp;hl=en&amp;geocode=&amp;q=-28.17568,153.53973")</f>
        <v>http://maps.google.com/maps?f=q&amp;hl=en&amp;geocode=&amp;q=-28.17568,153.53973</v>
      </c>
    </row>
    <row r="106" spans="1:13" ht="60" x14ac:dyDescent="0.25">
      <c r="A106" s="4" t="s">
        <v>2165</v>
      </c>
      <c r="B106" s="4" t="s">
        <v>28</v>
      </c>
      <c r="C106" s="4" t="s">
        <v>70</v>
      </c>
      <c r="D106" s="4" t="s">
        <v>41</v>
      </c>
      <c r="F106" s="5">
        <v>14</v>
      </c>
      <c r="G106" s="4" t="s">
        <v>2166</v>
      </c>
      <c r="H106" s="4" t="s">
        <v>30</v>
      </c>
      <c r="J106" s="4" t="s">
        <v>25</v>
      </c>
      <c r="K106" s="4" t="s">
        <v>18</v>
      </c>
      <c r="L106" s="4" t="s">
        <v>2167</v>
      </c>
      <c r="M106" s="6" t="str">
        <f>HYPERLINK("http://maps.google.com/maps?f=q&amp;hl=en&amp;geocode=&amp;q=-28.78793,153.59144")</f>
        <v>http://maps.google.com/maps?f=q&amp;hl=en&amp;geocode=&amp;q=-28.78793,153.59144</v>
      </c>
    </row>
    <row r="107" spans="1:13" ht="60" x14ac:dyDescent="0.25">
      <c r="A107" s="4" t="s">
        <v>2164</v>
      </c>
      <c r="B107" s="4" t="s">
        <v>22</v>
      </c>
      <c r="C107" s="4" t="s">
        <v>14</v>
      </c>
      <c r="D107" s="4" t="s">
        <v>15</v>
      </c>
      <c r="F107" s="5">
        <v>4</v>
      </c>
      <c r="G107" s="4" t="s">
        <v>935</v>
      </c>
      <c r="H107" s="4" t="s">
        <v>936</v>
      </c>
      <c r="I107" s="4" t="s">
        <v>38</v>
      </c>
      <c r="J107" s="4" t="s">
        <v>38</v>
      </c>
      <c r="K107" s="4" t="s">
        <v>19</v>
      </c>
      <c r="M107" s="6" t="str">
        <f>HYPERLINK("http://maps.google.com/maps?f=q&amp;hl=en&amp;geocode=&amp;q=-28.33529,153.56685")</f>
        <v>http://maps.google.com/maps?f=q&amp;hl=en&amp;geocode=&amp;q=-28.33529,153.56685</v>
      </c>
    </row>
    <row r="108" spans="1:13" ht="60" x14ac:dyDescent="0.25">
      <c r="A108" s="4" t="s">
        <v>2163</v>
      </c>
      <c r="B108" s="4" t="s">
        <v>22</v>
      </c>
      <c r="C108" s="4" t="s">
        <v>14</v>
      </c>
      <c r="D108" s="4" t="s">
        <v>15</v>
      </c>
      <c r="F108" s="5">
        <v>43</v>
      </c>
      <c r="G108" s="4" t="s">
        <v>1563</v>
      </c>
      <c r="H108" s="4" t="s">
        <v>936</v>
      </c>
      <c r="J108" s="4" t="s">
        <v>31</v>
      </c>
      <c r="K108" s="4" t="s">
        <v>49</v>
      </c>
      <c r="M108" s="6" t="str">
        <f>HYPERLINK("http://maps.google.com/maps?f=q&amp;hl=en&amp;geocode=&amp;q=-28.3319,153.56716")</f>
        <v>http://maps.google.com/maps?f=q&amp;hl=en&amp;geocode=&amp;q=-28.3319,153.56716</v>
      </c>
    </row>
    <row r="109" spans="1:13" ht="60" x14ac:dyDescent="0.25">
      <c r="A109" s="4" t="s">
        <v>2160</v>
      </c>
      <c r="B109" s="4" t="s">
        <v>28</v>
      </c>
      <c r="C109" s="4" t="s">
        <v>14</v>
      </c>
      <c r="D109" s="4" t="s">
        <v>15</v>
      </c>
      <c r="F109" s="5">
        <v>2</v>
      </c>
      <c r="G109" s="4" t="s">
        <v>2161</v>
      </c>
      <c r="H109" s="4" t="s">
        <v>1218</v>
      </c>
      <c r="J109" s="4" t="s">
        <v>19</v>
      </c>
      <c r="K109" s="4" t="s">
        <v>25</v>
      </c>
      <c r="L109" s="4" t="s">
        <v>2162</v>
      </c>
      <c r="M109" s="6" t="str">
        <f>HYPERLINK("http://maps.google.com/maps?f=q&amp;hl=en&amp;geocode=&amp;q=-28.81947,153.54018")</f>
        <v>http://maps.google.com/maps?f=q&amp;hl=en&amp;geocode=&amp;q=-28.81947,153.54018</v>
      </c>
    </row>
    <row r="110" spans="1:13" ht="60" x14ac:dyDescent="0.25">
      <c r="A110" s="4" t="s">
        <v>2156</v>
      </c>
      <c r="B110" s="4" t="s">
        <v>22</v>
      </c>
      <c r="C110" s="4" t="s">
        <v>14</v>
      </c>
      <c r="D110" s="4" t="s">
        <v>15</v>
      </c>
      <c r="F110" s="5">
        <v>9</v>
      </c>
      <c r="G110" s="4" t="s">
        <v>2157</v>
      </c>
      <c r="H110" s="4" t="s">
        <v>160</v>
      </c>
      <c r="I110" s="4" t="s">
        <v>2158</v>
      </c>
      <c r="J110" s="4" t="s">
        <v>19</v>
      </c>
      <c r="K110" s="4" t="s">
        <v>224</v>
      </c>
      <c r="L110" s="4" t="s">
        <v>2159</v>
      </c>
      <c r="M110" s="6" t="str">
        <f>HYPERLINK("http://maps.google.com/maps?f=q&amp;hl=en&amp;geocode=&amp;q=-28.19248,153.51132")</f>
        <v>http://maps.google.com/maps?f=q&amp;hl=en&amp;geocode=&amp;q=-28.19248,153.51132</v>
      </c>
    </row>
    <row r="111" spans="1:13" ht="75" x14ac:dyDescent="0.25">
      <c r="A111" s="4" t="s">
        <v>2153</v>
      </c>
      <c r="B111" s="4" t="s">
        <v>13</v>
      </c>
      <c r="C111" s="4" t="s">
        <v>70</v>
      </c>
      <c r="D111" s="4" t="s">
        <v>41</v>
      </c>
      <c r="F111" s="5">
        <v>29</v>
      </c>
      <c r="G111" s="4" t="s">
        <v>2154</v>
      </c>
      <c r="H111" s="4" t="s">
        <v>218</v>
      </c>
      <c r="I111" s="4" t="s">
        <v>2155</v>
      </c>
      <c r="J111" s="4" t="s">
        <v>31</v>
      </c>
      <c r="K111" s="4" t="s">
        <v>523</v>
      </c>
      <c r="M111" s="6" t="str">
        <f>HYPERLINK("http://maps.google.com/maps?f=q&amp;hl=en&amp;geocode=&amp;q=55.7481689453125,-4.63766002655029")</f>
        <v>http://maps.google.com/maps?f=q&amp;hl=en&amp;geocode=&amp;q=55.7481689453125,-4.63766002655029</v>
      </c>
    </row>
    <row r="112" spans="1:13" ht="60" x14ac:dyDescent="0.25">
      <c r="A112" s="4" t="s">
        <v>2150</v>
      </c>
      <c r="B112" s="4" t="s">
        <v>28</v>
      </c>
      <c r="C112" s="4" t="s">
        <v>14</v>
      </c>
      <c r="D112" s="4" t="s">
        <v>41</v>
      </c>
      <c r="F112" s="5">
        <v>110</v>
      </c>
      <c r="G112" s="4" t="s">
        <v>1623</v>
      </c>
      <c r="H112" s="4" t="s">
        <v>464</v>
      </c>
      <c r="I112" s="4" t="s">
        <v>2151</v>
      </c>
      <c r="J112" s="4" t="s">
        <v>25</v>
      </c>
      <c r="K112" s="4" t="s">
        <v>57</v>
      </c>
      <c r="L112" s="4" t="s">
        <v>2152</v>
      </c>
      <c r="M112" s="6" t="str">
        <f>HYPERLINK("http://maps.google.com/maps?f=q&amp;hl=en&amp;geocode=&amp;q=-28.84778,153.58842")</f>
        <v>http://maps.google.com/maps?f=q&amp;hl=en&amp;geocode=&amp;q=-28.84778,153.58842</v>
      </c>
    </row>
    <row r="113" spans="1:13" ht="60" x14ac:dyDescent="0.25">
      <c r="A113" s="4" t="s">
        <v>2147</v>
      </c>
      <c r="B113" s="4" t="s">
        <v>34</v>
      </c>
      <c r="C113" s="4" t="s">
        <v>70</v>
      </c>
      <c r="D113" s="4" t="s">
        <v>15</v>
      </c>
      <c r="F113" s="5">
        <v>95</v>
      </c>
      <c r="G113" s="4" t="s">
        <v>2148</v>
      </c>
      <c r="H113" s="4" t="s">
        <v>1847</v>
      </c>
      <c r="I113" s="4" t="s">
        <v>2149</v>
      </c>
      <c r="J113" s="4" t="s">
        <v>19</v>
      </c>
      <c r="K113" s="4" t="s">
        <v>57</v>
      </c>
      <c r="M113" s="6" t="str">
        <f>HYPERLINK("http://maps.google.com/maps?f=q&amp;hl=en&amp;geocode=&amp;q=-28.79501,153.27551")</f>
        <v>http://maps.google.com/maps?f=q&amp;hl=en&amp;geocode=&amp;q=-28.79501,153.27551</v>
      </c>
    </row>
    <row r="114" spans="1:13" ht="60" x14ac:dyDescent="0.25">
      <c r="A114" s="4" t="s">
        <v>2144</v>
      </c>
      <c r="B114" s="4" t="s">
        <v>69</v>
      </c>
      <c r="C114" s="4" t="s">
        <v>14</v>
      </c>
      <c r="D114" s="4" t="s">
        <v>335</v>
      </c>
      <c r="F114" s="5">
        <v>4</v>
      </c>
      <c r="G114" s="4" t="s">
        <v>748</v>
      </c>
      <c r="H114" s="4" t="s">
        <v>1394</v>
      </c>
      <c r="I114" s="4" t="s">
        <v>2145</v>
      </c>
      <c r="J114" s="4" t="s">
        <v>38</v>
      </c>
      <c r="L114" s="4" t="s">
        <v>2146</v>
      </c>
      <c r="M114" s="6" t="str">
        <f>HYPERLINK("http://maps.google.com/maps?f=q&amp;hl=en&amp;geocode=&amp;q=-29.62998,153.02947")</f>
        <v>http://maps.google.com/maps?f=q&amp;hl=en&amp;geocode=&amp;q=-29.62998,153.02947</v>
      </c>
    </row>
    <row r="115" spans="1:13" ht="60" x14ac:dyDescent="0.25">
      <c r="A115" s="4" t="s">
        <v>2142</v>
      </c>
      <c r="B115" s="4" t="s">
        <v>22</v>
      </c>
      <c r="C115" s="4" t="s">
        <v>14</v>
      </c>
      <c r="D115" s="4" t="s">
        <v>15</v>
      </c>
      <c r="F115" s="5" t="s">
        <v>2046</v>
      </c>
      <c r="G115" s="4" t="s">
        <v>2143</v>
      </c>
      <c r="H115" s="4" t="s">
        <v>165</v>
      </c>
      <c r="J115" s="4" t="s">
        <v>19</v>
      </c>
      <c r="K115" s="4" t="s">
        <v>18</v>
      </c>
      <c r="M115" s="6" t="str">
        <f>HYPERLINK("http://maps.google.com/maps?f=q&amp;hl=en&amp;geocode=&amp;q=-28.22297,153.54958")</f>
        <v>http://maps.google.com/maps?f=q&amp;hl=en&amp;geocode=&amp;q=-28.22297,153.54958</v>
      </c>
    </row>
    <row r="116" spans="1:13" ht="75" x14ac:dyDescent="0.25">
      <c r="A116" s="4" t="s">
        <v>2139</v>
      </c>
      <c r="B116" s="4" t="s">
        <v>22</v>
      </c>
      <c r="C116" s="4" t="s">
        <v>14</v>
      </c>
      <c r="D116" s="4" t="s">
        <v>15</v>
      </c>
      <c r="F116" s="5">
        <v>63</v>
      </c>
      <c r="G116" s="4" t="s">
        <v>2140</v>
      </c>
      <c r="H116" s="4" t="s">
        <v>703</v>
      </c>
      <c r="I116" s="4" t="s">
        <v>2141</v>
      </c>
      <c r="J116" s="4" t="s">
        <v>25</v>
      </c>
      <c r="K116" s="4" t="s">
        <v>44</v>
      </c>
      <c r="L116" s="4" t="s">
        <v>238</v>
      </c>
      <c r="M116" s="6" t="str">
        <f>HYPERLINK("http://maps.google.com/maps?f=q&amp;hl=en&amp;geocode=&amp;q=40.6854591369629,-76.1953887939453")</f>
        <v>http://maps.google.com/maps?f=q&amp;hl=en&amp;geocode=&amp;q=40.6854591369629,-76.1953887939453</v>
      </c>
    </row>
    <row r="117" spans="1:13" ht="60" x14ac:dyDescent="0.25">
      <c r="A117" s="4" t="s">
        <v>2136</v>
      </c>
      <c r="B117" s="4" t="s">
        <v>22</v>
      </c>
      <c r="C117" s="4" t="s">
        <v>14</v>
      </c>
      <c r="D117" s="4" t="s">
        <v>15</v>
      </c>
      <c r="F117" s="5">
        <v>22</v>
      </c>
      <c r="G117" s="4" t="s">
        <v>2137</v>
      </c>
      <c r="H117" s="4" t="s">
        <v>2138</v>
      </c>
      <c r="J117" s="4" t="s">
        <v>25</v>
      </c>
      <c r="K117" s="4" t="s">
        <v>19</v>
      </c>
      <c r="M117" s="6" t="str">
        <f>HYPERLINK("http://maps.google.com/maps?f=q&amp;hl=en&amp;geocode=&amp;q=-28.18047,153.52448")</f>
        <v>http://maps.google.com/maps?f=q&amp;hl=en&amp;geocode=&amp;q=-28.18047,153.52448</v>
      </c>
    </row>
    <row r="118" spans="1:13" ht="60" x14ac:dyDescent="0.25">
      <c r="A118" s="4" t="s">
        <v>2134</v>
      </c>
      <c r="B118" s="4" t="s">
        <v>13</v>
      </c>
      <c r="C118" s="4" t="s">
        <v>14</v>
      </c>
      <c r="D118" s="4" t="s">
        <v>15</v>
      </c>
      <c r="F118" s="5">
        <v>94</v>
      </c>
      <c r="G118" s="4" t="s">
        <v>254</v>
      </c>
      <c r="H118" s="4" t="s">
        <v>218</v>
      </c>
      <c r="I118" s="4" t="s">
        <v>2135</v>
      </c>
      <c r="J118" s="4" t="s">
        <v>50</v>
      </c>
      <c r="K118" s="4" t="s">
        <v>19</v>
      </c>
      <c r="M118" s="6" t="str">
        <f>HYPERLINK("http://maps.google.com/maps?f=q&amp;hl=en&amp;geocode=&amp;q=-28.8602,153.04745")</f>
        <v>http://maps.google.com/maps?f=q&amp;hl=en&amp;geocode=&amp;q=-28.8602,153.04745</v>
      </c>
    </row>
    <row r="119" spans="1:13" ht="60" x14ac:dyDescent="0.25">
      <c r="A119" s="4" t="s">
        <v>2132</v>
      </c>
      <c r="B119" s="4" t="s">
        <v>34</v>
      </c>
      <c r="C119" s="4" t="s">
        <v>70</v>
      </c>
      <c r="D119" s="4" t="s">
        <v>15</v>
      </c>
      <c r="F119" s="5">
        <v>14</v>
      </c>
      <c r="G119" s="4" t="s">
        <v>2023</v>
      </c>
      <c r="H119" s="4" t="s">
        <v>36</v>
      </c>
      <c r="J119" s="4" t="s">
        <v>31</v>
      </c>
      <c r="K119" s="4" t="s">
        <v>117</v>
      </c>
      <c r="L119" s="4" t="s">
        <v>2133</v>
      </c>
      <c r="M119" s="6" t="str">
        <f>HYPERLINK("http://maps.google.com/maps?f=q&amp;hl=en&amp;geocode=&amp;q=-28.81163,153.26629")</f>
        <v>http://maps.google.com/maps?f=q&amp;hl=en&amp;geocode=&amp;q=-28.81163,153.26629</v>
      </c>
    </row>
    <row r="120" spans="1:13" ht="75" x14ac:dyDescent="0.25">
      <c r="A120" s="4" t="s">
        <v>2128</v>
      </c>
      <c r="B120" s="4" t="s">
        <v>22</v>
      </c>
      <c r="C120" s="4" t="s">
        <v>14</v>
      </c>
      <c r="D120" s="4" t="s">
        <v>15</v>
      </c>
      <c r="F120" s="5" t="s">
        <v>2129</v>
      </c>
      <c r="G120" s="4" t="s">
        <v>227</v>
      </c>
      <c r="H120" s="4" t="s">
        <v>165</v>
      </c>
      <c r="I120" s="4" t="s">
        <v>2130</v>
      </c>
      <c r="J120" s="4" t="s">
        <v>19</v>
      </c>
      <c r="K120" s="4" t="s">
        <v>25</v>
      </c>
      <c r="L120" s="4" t="s">
        <v>2131</v>
      </c>
      <c r="M120" s="6" t="str">
        <f>HYPERLINK("http://maps.google.com/maps?f=q&amp;hl=en&amp;geocode=&amp;q=-28.21539,153.5290599")</f>
        <v>http://maps.google.com/maps?f=q&amp;hl=en&amp;geocode=&amp;q=-28.21539,153.5290599</v>
      </c>
    </row>
    <row r="121" spans="1:13" ht="60" x14ac:dyDescent="0.25">
      <c r="A121" s="4" t="s">
        <v>2126</v>
      </c>
      <c r="B121" s="4" t="s">
        <v>28</v>
      </c>
      <c r="C121" s="4" t="s">
        <v>70</v>
      </c>
      <c r="D121" s="4" t="s">
        <v>15</v>
      </c>
      <c r="F121" s="5">
        <v>30</v>
      </c>
      <c r="G121" s="4" t="s">
        <v>2127</v>
      </c>
      <c r="H121" s="4" t="s">
        <v>93</v>
      </c>
      <c r="M121" s="6" t="str">
        <f>HYPERLINK("http://maps.google.com/maps?f=q&amp;hl=en&amp;geocode=&amp;q=-28.82259,153.41806")</f>
        <v>http://maps.google.com/maps?f=q&amp;hl=en&amp;geocode=&amp;q=-28.82259,153.41806</v>
      </c>
    </row>
    <row r="122" spans="1:13" ht="60" x14ac:dyDescent="0.25">
      <c r="A122" s="4" t="s">
        <v>2122</v>
      </c>
      <c r="B122" s="4" t="s">
        <v>22</v>
      </c>
      <c r="C122" s="4" t="s">
        <v>70</v>
      </c>
      <c r="D122" s="4" t="s">
        <v>15</v>
      </c>
      <c r="F122" s="5">
        <v>3</v>
      </c>
      <c r="G122" s="4" t="s">
        <v>2123</v>
      </c>
      <c r="H122" s="4" t="s">
        <v>165</v>
      </c>
      <c r="I122" s="4" t="s">
        <v>2124</v>
      </c>
      <c r="J122" s="4" t="s">
        <v>44</v>
      </c>
      <c r="K122" s="4" t="s">
        <v>19</v>
      </c>
      <c r="L122" s="4" t="s">
        <v>2125</v>
      </c>
      <c r="M122" s="6" t="str">
        <f>HYPERLINK("http://maps.google.com/maps?f=q&amp;hl=en&amp;geocode=&amp;q=-28.21518,153.54729")</f>
        <v>http://maps.google.com/maps?f=q&amp;hl=en&amp;geocode=&amp;q=-28.21518,153.54729</v>
      </c>
    </row>
    <row r="123" spans="1:13" ht="60" x14ac:dyDescent="0.25">
      <c r="A123" s="4" t="s">
        <v>2119</v>
      </c>
      <c r="B123" s="4" t="s">
        <v>28</v>
      </c>
      <c r="C123" s="4" t="s">
        <v>14</v>
      </c>
      <c r="D123" s="4" t="s">
        <v>15</v>
      </c>
      <c r="F123" s="5">
        <v>7</v>
      </c>
      <c r="G123" s="4" t="s">
        <v>2120</v>
      </c>
      <c r="H123" s="4" t="s">
        <v>107</v>
      </c>
      <c r="I123" s="4" t="s">
        <v>2121</v>
      </c>
      <c r="J123" s="4" t="s">
        <v>49</v>
      </c>
      <c r="K123" s="4" t="s">
        <v>25</v>
      </c>
      <c r="M123" s="6" t="str">
        <f>HYPERLINK("http://maps.google.com/maps?f=q&amp;hl=en&amp;geocode=&amp;q=-28.84973,153.59552")</f>
        <v>http://maps.google.com/maps?f=q&amp;hl=en&amp;geocode=&amp;q=-28.84973,153.59552</v>
      </c>
    </row>
    <row r="124" spans="1:13" ht="60" x14ac:dyDescent="0.25">
      <c r="A124" s="4" t="s">
        <v>2115</v>
      </c>
      <c r="B124" s="4" t="s">
        <v>69</v>
      </c>
      <c r="C124" s="4" t="s">
        <v>14</v>
      </c>
      <c r="D124" s="4" t="s">
        <v>41</v>
      </c>
      <c r="F124" s="5">
        <v>18</v>
      </c>
      <c r="G124" s="4" t="s">
        <v>2116</v>
      </c>
      <c r="H124" s="4" t="s">
        <v>884</v>
      </c>
      <c r="I124" s="4" t="s">
        <v>2117</v>
      </c>
      <c r="J124" s="4" t="s">
        <v>66</v>
      </c>
      <c r="K124" s="4" t="s">
        <v>18</v>
      </c>
      <c r="L124" s="4" t="s">
        <v>2118</v>
      </c>
      <c r="M124" s="6" t="str">
        <f>HYPERLINK("http://maps.google.com/maps?f=q&amp;hl=en&amp;geocode=&amp;q=-29.45432,153.20584")</f>
        <v>http://maps.google.com/maps?f=q&amp;hl=en&amp;geocode=&amp;q=-29.45432,153.20584</v>
      </c>
    </row>
    <row r="125" spans="1:13" ht="60" x14ac:dyDescent="0.25">
      <c r="A125" s="4" t="s">
        <v>2112</v>
      </c>
      <c r="B125" s="4" t="s">
        <v>69</v>
      </c>
      <c r="C125" s="4" t="s">
        <v>70</v>
      </c>
      <c r="D125" s="4" t="s">
        <v>15</v>
      </c>
      <c r="F125" s="5">
        <v>30</v>
      </c>
      <c r="G125" s="4" t="s">
        <v>2113</v>
      </c>
      <c r="H125" s="4" t="s">
        <v>517</v>
      </c>
      <c r="I125" s="4" t="s">
        <v>31</v>
      </c>
      <c r="J125" s="4" t="s">
        <v>25</v>
      </c>
      <c r="K125" s="4" t="s">
        <v>145</v>
      </c>
      <c r="L125" s="4" t="s">
        <v>2114</v>
      </c>
      <c r="M125" s="6" t="str">
        <f>HYPERLINK("http://maps.google.com/maps?f=q&amp;hl=en&amp;geocode=&amp;q=-29.64226,152.92635")</f>
        <v>http://maps.google.com/maps?f=q&amp;hl=en&amp;geocode=&amp;q=-29.64226,152.92635</v>
      </c>
    </row>
    <row r="126" spans="1:13" ht="60" x14ac:dyDescent="0.25">
      <c r="A126" s="4" t="s">
        <v>2107</v>
      </c>
      <c r="B126" s="4" t="s">
        <v>69</v>
      </c>
      <c r="C126" s="4" t="s">
        <v>14</v>
      </c>
      <c r="D126" s="4" t="s">
        <v>15</v>
      </c>
      <c r="F126" s="5" t="s">
        <v>2108</v>
      </c>
      <c r="G126" s="4" t="s">
        <v>2109</v>
      </c>
      <c r="H126" s="4" t="s">
        <v>72</v>
      </c>
      <c r="I126" s="4" t="s">
        <v>2110</v>
      </c>
      <c r="J126" s="4" t="s">
        <v>117</v>
      </c>
      <c r="K126" s="4" t="s">
        <v>19</v>
      </c>
      <c r="L126" s="4" t="s">
        <v>2111</v>
      </c>
      <c r="M126" s="6" t="str">
        <f>HYPERLINK("http://maps.google.com/maps?f=q&amp;hl=en&amp;geocode=&amp;q=-29.43769,153.3642")</f>
        <v>http://maps.google.com/maps?f=q&amp;hl=en&amp;geocode=&amp;q=-29.43769,153.3642</v>
      </c>
    </row>
    <row r="127" spans="1:13" ht="60" x14ac:dyDescent="0.25">
      <c r="A127" s="4" t="s">
        <v>2103</v>
      </c>
      <c r="B127" s="4" t="s">
        <v>22</v>
      </c>
      <c r="C127" s="4" t="s">
        <v>70</v>
      </c>
      <c r="D127" s="4" t="s">
        <v>15</v>
      </c>
      <c r="F127" s="5">
        <v>7</v>
      </c>
      <c r="G127" s="4" t="s">
        <v>2104</v>
      </c>
      <c r="H127" s="4" t="s">
        <v>296</v>
      </c>
      <c r="I127" s="4" t="s">
        <v>2105</v>
      </c>
      <c r="J127" s="4" t="s">
        <v>57</v>
      </c>
      <c r="K127" s="4" t="s">
        <v>25</v>
      </c>
      <c r="L127" s="4" t="s">
        <v>2106</v>
      </c>
      <c r="M127" s="6" t="str">
        <f>HYPERLINK("http://maps.google.com/maps?f=q&amp;hl=en&amp;geocode=&amp;q=-28.27367,153.57433")</f>
        <v>http://maps.google.com/maps?f=q&amp;hl=en&amp;geocode=&amp;q=-28.27367,153.57433</v>
      </c>
    </row>
    <row r="128" spans="1:13" ht="60" x14ac:dyDescent="0.25">
      <c r="A128" s="4" t="s">
        <v>2098</v>
      </c>
      <c r="B128" s="4" t="s">
        <v>22</v>
      </c>
      <c r="C128" s="4" t="s">
        <v>14</v>
      </c>
      <c r="D128" s="4" t="s">
        <v>15</v>
      </c>
      <c r="F128" s="5">
        <v>105</v>
      </c>
      <c r="G128" s="4" t="s">
        <v>2099</v>
      </c>
      <c r="H128" s="4" t="s">
        <v>2100</v>
      </c>
      <c r="I128" s="4" t="s">
        <v>2101</v>
      </c>
      <c r="J128" s="4" t="s">
        <v>25</v>
      </c>
      <c r="K128" s="4" t="s">
        <v>44</v>
      </c>
      <c r="L128" s="4" t="s">
        <v>2102</v>
      </c>
      <c r="M128" s="6" t="str">
        <f>HYPERLINK("http://maps.google.com/maps?f=q&amp;hl=en&amp;geocode=&amp;q=-28.27704,153.46166")</f>
        <v>http://maps.google.com/maps?f=q&amp;hl=en&amp;geocode=&amp;q=-28.27704,153.46166</v>
      </c>
    </row>
    <row r="129" spans="1:13" ht="60" x14ac:dyDescent="0.25">
      <c r="A129" s="4" t="s">
        <v>2094</v>
      </c>
      <c r="B129" s="4" t="s">
        <v>22</v>
      </c>
      <c r="C129" s="4" t="s">
        <v>70</v>
      </c>
      <c r="F129" s="5">
        <v>418</v>
      </c>
      <c r="G129" s="4" t="s">
        <v>2095</v>
      </c>
      <c r="H129" s="4" t="s">
        <v>2096</v>
      </c>
      <c r="J129" s="4" t="s">
        <v>49</v>
      </c>
      <c r="K129" s="4" t="s">
        <v>66</v>
      </c>
      <c r="L129" s="4" t="s">
        <v>2097</v>
      </c>
      <c r="M129" s="6" t="str">
        <f>HYPERLINK("http://maps.google.com/maps?f=q&amp;hl=en&amp;geocode=&amp;q=-28.22364,153.46839")</f>
        <v>http://maps.google.com/maps?f=q&amp;hl=en&amp;geocode=&amp;q=-28.22364,153.46839</v>
      </c>
    </row>
    <row r="130" spans="1:13" ht="60" x14ac:dyDescent="0.25">
      <c r="A130" s="4" t="s">
        <v>2089</v>
      </c>
      <c r="B130" s="4" t="s">
        <v>69</v>
      </c>
      <c r="C130" s="4" t="s">
        <v>14</v>
      </c>
      <c r="D130" s="4" t="s">
        <v>15</v>
      </c>
      <c r="F130" s="5">
        <v>27</v>
      </c>
      <c r="G130" s="4" t="s">
        <v>2090</v>
      </c>
      <c r="H130" s="4" t="s">
        <v>2091</v>
      </c>
      <c r="I130" s="4" t="s">
        <v>2092</v>
      </c>
      <c r="J130" s="4" t="s">
        <v>19</v>
      </c>
      <c r="K130" s="4" t="s">
        <v>66</v>
      </c>
      <c r="L130" s="4" t="s">
        <v>2093</v>
      </c>
      <c r="M130" s="6" t="str">
        <f>HYPERLINK("http://maps.google.com/maps?f=q&amp;hl=en&amp;geocode=&amp;q=-29.48962,153.15338")</f>
        <v>http://maps.google.com/maps?f=q&amp;hl=en&amp;geocode=&amp;q=-29.48962,153.15338</v>
      </c>
    </row>
    <row r="131" spans="1:13" ht="60" x14ac:dyDescent="0.25">
      <c r="A131" s="4" t="s">
        <v>2086</v>
      </c>
      <c r="B131" s="4" t="s">
        <v>13</v>
      </c>
      <c r="C131" s="4" t="s">
        <v>14</v>
      </c>
      <c r="D131" s="4" t="s">
        <v>15</v>
      </c>
      <c r="F131" s="5">
        <v>20</v>
      </c>
      <c r="G131" s="4" t="s">
        <v>606</v>
      </c>
      <c r="H131" s="4" t="s">
        <v>607</v>
      </c>
      <c r="I131" s="4" t="s">
        <v>2087</v>
      </c>
      <c r="J131" s="4" t="s">
        <v>31</v>
      </c>
      <c r="K131" s="4" t="s">
        <v>19</v>
      </c>
      <c r="L131" s="4" t="s">
        <v>2088</v>
      </c>
      <c r="M131" s="6" t="str">
        <f>HYPERLINK("http://maps.google.com/maps?f=q&amp;hl=en&amp;geocode=&amp;q=-28.8388,153.09708")</f>
        <v>http://maps.google.com/maps?f=q&amp;hl=en&amp;geocode=&amp;q=-28.8388,153.09708</v>
      </c>
    </row>
    <row r="132" spans="1:13" ht="60" x14ac:dyDescent="0.25">
      <c r="A132" s="4" t="s">
        <v>2082</v>
      </c>
      <c r="B132" s="4" t="s">
        <v>34</v>
      </c>
      <c r="C132" s="4" t="s">
        <v>70</v>
      </c>
      <c r="D132" s="4" t="s">
        <v>15</v>
      </c>
      <c r="F132" s="5">
        <v>209</v>
      </c>
      <c r="G132" s="4" t="s">
        <v>2083</v>
      </c>
      <c r="H132" s="4" t="s">
        <v>245</v>
      </c>
      <c r="I132" s="4" t="s">
        <v>2084</v>
      </c>
      <c r="J132" s="4" t="s">
        <v>19</v>
      </c>
      <c r="K132" s="4" t="s">
        <v>44</v>
      </c>
      <c r="L132" s="4" t="s">
        <v>2085</v>
      </c>
      <c r="M132" s="6" t="str">
        <f>HYPERLINK("http://maps.google.com/maps?f=q&amp;hl=en&amp;geocode=&amp;q=-28.81305,153.28405")</f>
        <v>http://maps.google.com/maps?f=q&amp;hl=en&amp;geocode=&amp;q=-28.81305,153.28405</v>
      </c>
    </row>
    <row r="133" spans="1:13" ht="60" x14ac:dyDescent="0.25">
      <c r="A133" s="4" t="s">
        <v>2080</v>
      </c>
      <c r="B133" s="4" t="s">
        <v>22</v>
      </c>
      <c r="C133" s="4" t="s">
        <v>14</v>
      </c>
      <c r="D133" s="4" t="s">
        <v>41</v>
      </c>
      <c r="F133" s="5">
        <v>45</v>
      </c>
      <c r="G133" s="4" t="s">
        <v>2081</v>
      </c>
      <c r="H133" s="4" t="s">
        <v>110</v>
      </c>
      <c r="J133" s="4" t="s">
        <v>95</v>
      </c>
      <c r="K133" s="4" t="s">
        <v>44</v>
      </c>
      <c r="L133" s="4" t="s">
        <v>18</v>
      </c>
      <c r="M133" s="6" t="str">
        <f>HYPERLINK("http://maps.google.com/maps?f=q&amp;hl=en&amp;geocode=&amp;q=-28.32821,153.38186")</f>
        <v>http://maps.google.com/maps?f=q&amp;hl=en&amp;geocode=&amp;q=-28.32821,153.38186</v>
      </c>
    </row>
    <row r="134" spans="1:13" ht="60" x14ac:dyDescent="0.25">
      <c r="A134" s="4" t="s">
        <v>2076</v>
      </c>
      <c r="B134" s="4" t="s">
        <v>69</v>
      </c>
      <c r="C134" s="4" t="s">
        <v>14</v>
      </c>
      <c r="D134" s="4" t="s">
        <v>41</v>
      </c>
      <c r="F134" s="5">
        <v>2</v>
      </c>
      <c r="G134" s="4" t="s">
        <v>2077</v>
      </c>
      <c r="H134" s="4" t="s">
        <v>884</v>
      </c>
      <c r="I134" s="4" t="s">
        <v>2078</v>
      </c>
      <c r="J134" s="4" t="s">
        <v>19</v>
      </c>
      <c r="K134" s="4" t="s">
        <v>31</v>
      </c>
      <c r="L134" s="4" t="s">
        <v>2079</v>
      </c>
      <c r="M134" s="6" t="str">
        <f>HYPERLINK("http://maps.google.com/maps?f=q&amp;hl=en&amp;geocode=&amp;q=-29.45248,153.20717")</f>
        <v>http://maps.google.com/maps?f=q&amp;hl=en&amp;geocode=&amp;q=-29.45248,153.20717</v>
      </c>
    </row>
    <row r="135" spans="1:13" ht="60" x14ac:dyDescent="0.25">
      <c r="A135" s="4" t="s">
        <v>2073</v>
      </c>
      <c r="B135" s="4" t="s">
        <v>28</v>
      </c>
      <c r="C135" s="4" t="s">
        <v>14</v>
      </c>
      <c r="D135" s="4" t="s">
        <v>1142</v>
      </c>
      <c r="E135" s="4" t="s">
        <v>2074</v>
      </c>
      <c r="F135" s="5">
        <v>451</v>
      </c>
      <c r="G135" s="4" t="s">
        <v>1674</v>
      </c>
      <c r="H135" s="4" t="s">
        <v>1675</v>
      </c>
      <c r="J135" s="4" t="s">
        <v>25</v>
      </c>
      <c r="K135" s="4" t="s">
        <v>18</v>
      </c>
      <c r="L135" s="4" t="s">
        <v>2075</v>
      </c>
      <c r="M135" s="6" t="str">
        <f>HYPERLINK("http://maps.google.com/maps?f=q&amp;hl=en&amp;geocode=&amp;q=-28.76763,153.49859")</f>
        <v>http://maps.google.com/maps?f=q&amp;hl=en&amp;geocode=&amp;q=-28.76763,153.49859</v>
      </c>
    </row>
    <row r="136" spans="1:13" ht="60" x14ac:dyDescent="0.25">
      <c r="A136" s="4" t="s">
        <v>2070</v>
      </c>
      <c r="B136" s="4" t="s">
        <v>34</v>
      </c>
      <c r="C136" s="4" t="s">
        <v>14</v>
      </c>
      <c r="D136" s="4" t="s">
        <v>15</v>
      </c>
      <c r="F136" s="5">
        <v>85</v>
      </c>
      <c r="G136" s="4" t="s">
        <v>1917</v>
      </c>
      <c r="H136" s="4" t="s">
        <v>132</v>
      </c>
      <c r="I136" s="4" t="s">
        <v>2071</v>
      </c>
      <c r="J136" s="4" t="s">
        <v>38</v>
      </c>
      <c r="K136" s="4" t="s">
        <v>50</v>
      </c>
      <c r="L136" s="4" t="s">
        <v>2072</v>
      </c>
      <c r="M136" s="6" t="str">
        <f>HYPERLINK("http://maps.google.com/maps?f=q&amp;hl=en&amp;geocode=&amp;q=-28.82185,153.29306")</f>
        <v>http://maps.google.com/maps?f=q&amp;hl=en&amp;geocode=&amp;q=-28.82185,153.29306</v>
      </c>
    </row>
    <row r="137" spans="1:13" ht="60" x14ac:dyDescent="0.25">
      <c r="A137" s="4" t="s">
        <v>2066</v>
      </c>
      <c r="B137" s="4" t="s">
        <v>28</v>
      </c>
      <c r="C137" s="4" t="s">
        <v>70</v>
      </c>
      <c r="D137" s="4" t="s">
        <v>478</v>
      </c>
      <c r="F137" s="5" t="s">
        <v>2067</v>
      </c>
      <c r="G137" s="4" t="s">
        <v>1282</v>
      </c>
      <c r="H137" s="4" t="s">
        <v>107</v>
      </c>
      <c r="I137" s="4" t="s">
        <v>2068</v>
      </c>
      <c r="J137" s="4" t="s">
        <v>19</v>
      </c>
      <c r="K137" s="4" t="s">
        <v>18</v>
      </c>
      <c r="L137" s="4" t="s">
        <v>2069</v>
      </c>
      <c r="M137" s="6" t="str">
        <f>HYPERLINK("http://maps.google.com/maps?f=q&amp;hl=en&amp;geocode=&amp;q=-28.86415,153.56553")</f>
        <v>http://maps.google.com/maps?f=q&amp;hl=en&amp;geocode=&amp;q=-28.86415,153.56553</v>
      </c>
    </row>
    <row r="138" spans="1:13" ht="60" x14ac:dyDescent="0.25">
      <c r="A138" s="4" t="s">
        <v>2062</v>
      </c>
      <c r="B138" s="4" t="s">
        <v>82</v>
      </c>
      <c r="C138" s="4" t="s">
        <v>14</v>
      </c>
      <c r="D138" s="4" t="s">
        <v>41</v>
      </c>
      <c r="F138" s="5">
        <v>20</v>
      </c>
      <c r="G138" s="4" t="s">
        <v>2063</v>
      </c>
      <c r="H138" s="4" t="s">
        <v>194</v>
      </c>
      <c r="I138" s="4" t="s">
        <v>2064</v>
      </c>
      <c r="J138" s="4" t="s">
        <v>18</v>
      </c>
      <c r="K138" s="4" t="s">
        <v>19</v>
      </c>
      <c r="L138" s="4" t="s">
        <v>2065</v>
      </c>
      <c r="M138" s="6" t="str">
        <f>HYPERLINK("http://maps.google.com/maps?f=q&amp;hl=en&amp;geocode=&amp;q=-28.5504,153.49111")</f>
        <v>http://maps.google.com/maps?f=q&amp;hl=en&amp;geocode=&amp;q=-28.5504,153.49111</v>
      </c>
    </row>
    <row r="139" spans="1:13" ht="60" x14ac:dyDescent="0.25">
      <c r="A139" s="4" t="s">
        <v>2058</v>
      </c>
      <c r="B139" s="4" t="s">
        <v>22</v>
      </c>
      <c r="C139" s="4" t="s">
        <v>14</v>
      </c>
      <c r="D139" s="4" t="s">
        <v>15</v>
      </c>
      <c r="F139" s="5">
        <v>44</v>
      </c>
      <c r="G139" s="4" t="s">
        <v>2059</v>
      </c>
      <c r="H139" s="4" t="s">
        <v>703</v>
      </c>
      <c r="I139" s="4" t="s">
        <v>2060</v>
      </c>
      <c r="J139" s="4" t="s">
        <v>25</v>
      </c>
      <c r="K139" s="4" t="s">
        <v>18</v>
      </c>
      <c r="L139" s="4" t="s">
        <v>2061</v>
      </c>
      <c r="M139" s="6" t="str">
        <f>HYPERLINK("http://maps.google.com/maps?f=q&amp;hl=en&amp;geocode=&amp;q=-28.4021,153.55776")</f>
        <v>http://maps.google.com/maps?f=q&amp;hl=en&amp;geocode=&amp;q=-28.4021,153.55776</v>
      </c>
    </row>
    <row r="140" spans="1:13" ht="60" x14ac:dyDescent="0.25">
      <c r="A140" s="4" t="s">
        <v>2054</v>
      </c>
      <c r="B140" s="4" t="s">
        <v>82</v>
      </c>
      <c r="C140" s="4" t="s">
        <v>70</v>
      </c>
      <c r="D140" s="4" t="s">
        <v>15</v>
      </c>
      <c r="F140" s="5">
        <v>6</v>
      </c>
      <c r="G140" s="4" t="s">
        <v>2055</v>
      </c>
      <c r="H140" s="4" t="s">
        <v>832</v>
      </c>
      <c r="I140" s="4" t="s">
        <v>2056</v>
      </c>
      <c r="J140" s="4" t="s">
        <v>18</v>
      </c>
      <c r="K140" s="4" t="s">
        <v>19</v>
      </c>
      <c r="L140" s="4" t="s">
        <v>2057</v>
      </c>
      <c r="M140" s="6" t="str">
        <f>HYPERLINK("http://maps.google.com/maps?f=q&amp;hl=en&amp;geocode=&amp;q=-28.68699,153.60474")</f>
        <v>http://maps.google.com/maps?f=q&amp;hl=en&amp;geocode=&amp;q=-28.68699,153.60474</v>
      </c>
    </row>
    <row r="141" spans="1:13" ht="75" x14ac:dyDescent="0.25">
      <c r="A141" s="4" t="s">
        <v>2050</v>
      </c>
      <c r="B141" s="4" t="s">
        <v>82</v>
      </c>
      <c r="C141" s="4" t="s">
        <v>14</v>
      </c>
      <c r="D141" s="4" t="s">
        <v>41</v>
      </c>
      <c r="F141" s="5">
        <v>8</v>
      </c>
      <c r="G141" s="4" t="s">
        <v>2051</v>
      </c>
      <c r="H141" s="4" t="s">
        <v>631</v>
      </c>
      <c r="I141" s="4" t="s">
        <v>2052</v>
      </c>
      <c r="J141" s="4" t="s">
        <v>237</v>
      </c>
      <c r="K141" s="4" t="s">
        <v>19</v>
      </c>
      <c r="L141" s="4" t="s">
        <v>2053</v>
      </c>
      <c r="M141" s="6" t="str">
        <f>HYPERLINK("http://maps.google.com/maps?f=q&amp;hl=en&amp;geocode=&amp;q=-28.68438,153.5330899")</f>
        <v>http://maps.google.com/maps?f=q&amp;hl=en&amp;geocode=&amp;q=-28.68438,153.5330899</v>
      </c>
    </row>
    <row r="142" spans="1:13" ht="60" x14ac:dyDescent="0.25">
      <c r="A142" s="4" t="s">
        <v>2045</v>
      </c>
      <c r="B142" s="4" t="s">
        <v>22</v>
      </c>
      <c r="C142" s="4" t="s">
        <v>70</v>
      </c>
      <c r="D142" s="4" t="s">
        <v>15</v>
      </c>
      <c r="F142" s="5" t="s">
        <v>2046</v>
      </c>
      <c r="G142" s="4" t="s">
        <v>2047</v>
      </c>
      <c r="H142" s="4" t="s">
        <v>55</v>
      </c>
      <c r="I142" s="4" t="s">
        <v>2048</v>
      </c>
      <c r="J142" s="4" t="s">
        <v>50</v>
      </c>
      <c r="K142" s="4" t="s">
        <v>19</v>
      </c>
      <c r="L142" s="4" t="s">
        <v>2049</v>
      </c>
      <c r="M142" s="6" t="str">
        <f>HYPERLINK("http://maps.google.com/maps?f=q&amp;hl=en&amp;geocode=&amp;q=-28.1748,153.54554")</f>
        <v>http://maps.google.com/maps?f=q&amp;hl=en&amp;geocode=&amp;q=-28.1748,153.54554</v>
      </c>
    </row>
    <row r="143" spans="1:13" ht="75" x14ac:dyDescent="0.25">
      <c r="A143" s="4" t="s">
        <v>2041</v>
      </c>
      <c r="B143" s="4" t="s">
        <v>22</v>
      </c>
      <c r="C143" s="4" t="s">
        <v>14</v>
      </c>
      <c r="D143" s="4" t="s">
        <v>15</v>
      </c>
      <c r="F143" s="5">
        <v>21</v>
      </c>
      <c r="G143" s="4" t="s">
        <v>2042</v>
      </c>
      <c r="H143" s="4" t="s">
        <v>165</v>
      </c>
      <c r="I143" s="4" t="s">
        <v>2043</v>
      </c>
      <c r="J143" s="4" t="s">
        <v>19</v>
      </c>
      <c r="K143" s="4" t="s">
        <v>25</v>
      </c>
      <c r="L143" s="4" t="s">
        <v>2044</v>
      </c>
      <c r="M143" s="6" t="str">
        <f>HYPERLINK("http://maps.google.com/maps?f=q&amp;hl=en&amp;geocode=&amp;q=43.1291739998457,-70.92476353856")</f>
        <v>http://maps.google.com/maps?f=q&amp;hl=en&amp;geocode=&amp;q=43.1291739998457,-70.92476353856</v>
      </c>
    </row>
    <row r="144" spans="1:13" ht="60" x14ac:dyDescent="0.25">
      <c r="A144" s="4" t="s">
        <v>2037</v>
      </c>
      <c r="B144" s="4" t="s">
        <v>34</v>
      </c>
      <c r="C144" s="4" t="s">
        <v>70</v>
      </c>
      <c r="D144" s="4" t="s">
        <v>15</v>
      </c>
      <c r="F144" s="5">
        <v>5</v>
      </c>
      <c r="G144" s="4" t="s">
        <v>2038</v>
      </c>
      <c r="H144" s="4" t="s">
        <v>61</v>
      </c>
      <c r="I144" s="4" t="s">
        <v>2039</v>
      </c>
      <c r="J144" s="4" t="s">
        <v>66</v>
      </c>
      <c r="K144" s="4" t="s">
        <v>49</v>
      </c>
      <c r="L144" s="4" t="s">
        <v>2040</v>
      </c>
      <c r="M144" s="6" t="str">
        <f>HYPERLINK("http://maps.google.com/maps?f=q&amp;hl=en&amp;geocode=&amp;q=-28.82403,153.34109")</f>
        <v>http://maps.google.com/maps?f=q&amp;hl=en&amp;geocode=&amp;q=-28.82403,153.34109</v>
      </c>
    </row>
    <row r="145" spans="1:13" ht="60" x14ac:dyDescent="0.25">
      <c r="A145" s="4" t="s">
        <v>2035</v>
      </c>
      <c r="B145" s="4" t="s">
        <v>28</v>
      </c>
      <c r="C145" s="4" t="s">
        <v>70</v>
      </c>
      <c r="D145" s="4" t="s">
        <v>15</v>
      </c>
      <c r="F145" s="5">
        <v>17</v>
      </c>
      <c r="G145" s="4" t="s">
        <v>2036</v>
      </c>
      <c r="H145" s="4" t="s">
        <v>107</v>
      </c>
      <c r="M145" s="6" t="str">
        <f>HYPERLINK("http://maps.google.com/maps?f=q&amp;hl=en&amp;geocode=&amp;q=-28.85026,153.55144")</f>
        <v>http://maps.google.com/maps?f=q&amp;hl=en&amp;geocode=&amp;q=-28.85026,153.55144</v>
      </c>
    </row>
    <row r="146" spans="1:13" ht="60" x14ac:dyDescent="0.25">
      <c r="A146" s="4" t="s">
        <v>2033</v>
      </c>
      <c r="B146" s="4" t="s">
        <v>69</v>
      </c>
      <c r="C146" s="4" t="s">
        <v>70</v>
      </c>
      <c r="D146" s="4" t="s">
        <v>15</v>
      </c>
      <c r="F146" s="5">
        <v>87</v>
      </c>
      <c r="G146" s="4" t="s">
        <v>639</v>
      </c>
      <c r="H146" s="4" t="s">
        <v>349</v>
      </c>
      <c r="J146" s="4" t="s">
        <v>44</v>
      </c>
      <c r="K146" s="4" t="s">
        <v>49</v>
      </c>
      <c r="L146" s="4" t="s">
        <v>2034</v>
      </c>
      <c r="M146" s="6" t="str">
        <f>HYPERLINK("http://maps.google.com/maps?f=q&amp;hl=en&amp;geocode=&amp;q=-29.68937,152.93793")</f>
        <v>http://maps.google.com/maps?f=q&amp;hl=en&amp;geocode=&amp;q=-29.68937,152.93793</v>
      </c>
    </row>
    <row r="147" spans="1:13" ht="60" x14ac:dyDescent="0.25">
      <c r="A147" s="4" t="s">
        <v>2028</v>
      </c>
      <c r="B147" s="4" t="s">
        <v>69</v>
      </c>
      <c r="C147" s="4" t="s">
        <v>70</v>
      </c>
      <c r="D147" s="4" t="s">
        <v>1142</v>
      </c>
      <c r="E147" s="4" t="s">
        <v>2029</v>
      </c>
      <c r="F147" s="5">
        <v>88</v>
      </c>
      <c r="G147" s="4" t="s">
        <v>2030</v>
      </c>
      <c r="H147" s="4" t="s">
        <v>349</v>
      </c>
      <c r="I147" s="4" t="s">
        <v>2031</v>
      </c>
      <c r="J147" s="4" t="s">
        <v>25</v>
      </c>
      <c r="K147" s="4" t="s">
        <v>18</v>
      </c>
      <c r="L147" s="4" t="s">
        <v>2032</v>
      </c>
      <c r="M147" s="6" t="str">
        <f>HYPERLINK("http://maps.google.com/maps?f=q&amp;hl=en&amp;geocode=&amp;q=-29.68348,152.93337")</f>
        <v>http://maps.google.com/maps?f=q&amp;hl=en&amp;geocode=&amp;q=-29.68348,152.93337</v>
      </c>
    </row>
    <row r="148" spans="1:13" ht="60" x14ac:dyDescent="0.25">
      <c r="A148" s="4" t="s">
        <v>2026</v>
      </c>
      <c r="B148" s="4" t="s">
        <v>82</v>
      </c>
      <c r="C148" s="4" t="s">
        <v>14</v>
      </c>
      <c r="D148" s="4" t="s">
        <v>15</v>
      </c>
      <c r="F148" s="5">
        <v>14</v>
      </c>
      <c r="G148" s="4" t="s">
        <v>2027</v>
      </c>
      <c r="H148" s="4" t="s">
        <v>832</v>
      </c>
      <c r="J148" s="4" t="s">
        <v>25</v>
      </c>
      <c r="K148" s="4" t="s">
        <v>57</v>
      </c>
      <c r="M148" s="6" t="str">
        <f>HYPERLINK("http://maps.google.com/maps?f=q&amp;hl=en&amp;geocode=&amp;q=-28.68475,153.60239")</f>
        <v>http://maps.google.com/maps?f=q&amp;hl=en&amp;geocode=&amp;q=-28.68475,153.60239</v>
      </c>
    </row>
    <row r="149" spans="1:13" ht="60" x14ac:dyDescent="0.25">
      <c r="A149" s="4" t="s">
        <v>2022</v>
      </c>
      <c r="B149" s="4" t="s">
        <v>34</v>
      </c>
      <c r="C149" s="4" t="s">
        <v>70</v>
      </c>
      <c r="D149" s="4" t="s">
        <v>41</v>
      </c>
      <c r="F149" s="5">
        <v>16</v>
      </c>
      <c r="G149" s="4" t="s">
        <v>2023</v>
      </c>
      <c r="H149" s="4" t="s">
        <v>36</v>
      </c>
      <c r="I149" s="4" t="s">
        <v>2024</v>
      </c>
      <c r="J149" s="4" t="s">
        <v>31</v>
      </c>
      <c r="K149" s="4" t="s">
        <v>145</v>
      </c>
      <c r="L149" s="4" t="s">
        <v>2025</v>
      </c>
      <c r="M149" s="6" t="str">
        <f>HYPERLINK("http://maps.google.com/maps?f=q&amp;hl=en&amp;geocode=&amp;q=-28.81161,153.26617")</f>
        <v>http://maps.google.com/maps?f=q&amp;hl=en&amp;geocode=&amp;q=-28.81161,153.26617</v>
      </c>
    </row>
    <row r="150" spans="1:13" ht="60" x14ac:dyDescent="0.25">
      <c r="A150" s="4" t="s">
        <v>2019</v>
      </c>
      <c r="B150" s="4" t="s">
        <v>22</v>
      </c>
      <c r="C150" s="4" t="s">
        <v>14</v>
      </c>
      <c r="D150" s="4" t="s">
        <v>15</v>
      </c>
      <c r="F150" s="5">
        <v>1</v>
      </c>
      <c r="G150" s="4" t="s">
        <v>2020</v>
      </c>
      <c r="H150" s="4" t="s">
        <v>55</v>
      </c>
      <c r="J150" s="4" t="s">
        <v>66</v>
      </c>
      <c r="K150" s="4" t="s">
        <v>19</v>
      </c>
      <c r="L150" s="4" t="s">
        <v>2021</v>
      </c>
      <c r="M150" s="6" t="str">
        <f>HYPERLINK("http://maps.google.com/maps?f=q&amp;hl=en&amp;geocode=&amp;q=-28.18207,153.52352")</f>
        <v>http://maps.google.com/maps?f=q&amp;hl=en&amp;geocode=&amp;q=-28.18207,153.52352</v>
      </c>
    </row>
    <row r="151" spans="1:13" ht="60" x14ac:dyDescent="0.25">
      <c r="A151" s="4" t="s">
        <v>2015</v>
      </c>
      <c r="B151" s="4" t="s">
        <v>22</v>
      </c>
      <c r="C151" s="4" t="s">
        <v>14</v>
      </c>
      <c r="D151" s="4" t="s">
        <v>15</v>
      </c>
      <c r="F151" s="5">
        <v>11</v>
      </c>
      <c r="G151" s="4" t="s">
        <v>2016</v>
      </c>
      <c r="H151" s="4" t="s">
        <v>2017</v>
      </c>
      <c r="I151" s="4" t="s">
        <v>2018</v>
      </c>
      <c r="J151" s="4" t="s">
        <v>18</v>
      </c>
      <c r="K151" s="4" t="s">
        <v>19</v>
      </c>
      <c r="M151" s="6" t="str">
        <f>HYPERLINK("http://maps.google.com/maps?f=q&amp;hl=en&amp;geocode=&amp;q=-28.39,153.3371")</f>
        <v>http://maps.google.com/maps?f=q&amp;hl=en&amp;geocode=&amp;q=-28.39,153.3371</v>
      </c>
    </row>
    <row r="152" spans="1:13" ht="60" x14ac:dyDescent="0.25">
      <c r="A152" s="4" t="s">
        <v>2011</v>
      </c>
      <c r="B152" s="4" t="s">
        <v>82</v>
      </c>
      <c r="C152" s="4" t="s">
        <v>14</v>
      </c>
      <c r="D152" s="4" t="s">
        <v>15</v>
      </c>
      <c r="F152" s="5">
        <v>25</v>
      </c>
      <c r="G152" s="4" t="s">
        <v>2012</v>
      </c>
      <c r="H152" s="4" t="s">
        <v>84</v>
      </c>
      <c r="I152" s="4" t="s">
        <v>2013</v>
      </c>
      <c r="J152" s="4" t="s">
        <v>31</v>
      </c>
      <c r="K152" s="4" t="s">
        <v>25</v>
      </c>
      <c r="L152" s="4" t="s">
        <v>2014</v>
      </c>
      <c r="M152" s="6" t="str">
        <f>HYPERLINK("http://maps.google.com/maps?f=q&amp;hl=en&amp;geocode=&amp;q=-28.65364,153.61958")</f>
        <v>http://maps.google.com/maps?f=q&amp;hl=en&amp;geocode=&amp;q=-28.65364,153.61958</v>
      </c>
    </row>
    <row r="153" spans="1:13" ht="60" x14ac:dyDescent="0.25">
      <c r="A153" s="4" t="s">
        <v>2009</v>
      </c>
      <c r="B153" s="4" t="s">
        <v>34</v>
      </c>
      <c r="C153" s="4" t="s">
        <v>70</v>
      </c>
      <c r="D153" s="4" t="s">
        <v>15</v>
      </c>
      <c r="F153" s="5">
        <v>108</v>
      </c>
      <c r="G153" s="4" t="s">
        <v>539</v>
      </c>
      <c r="H153" s="4" t="s">
        <v>132</v>
      </c>
      <c r="J153" s="4" t="s">
        <v>49</v>
      </c>
      <c r="K153" s="4" t="s">
        <v>31</v>
      </c>
      <c r="L153" s="4" t="s">
        <v>2010</v>
      </c>
      <c r="M153" s="6" t="str">
        <f>HYPERLINK("http://maps.google.com/maps?f=q&amp;hl=en&amp;geocode=&amp;q=-28.82192,153.28657")</f>
        <v>http://maps.google.com/maps?f=q&amp;hl=en&amp;geocode=&amp;q=-28.82192,153.28657</v>
      </c>
    </row>
    <row r="154" spans="1:13" ht="60" x14ac:dyDescent="0.25">
      <c r="A154" s="4" t="s">
        <v>2006</v>
      </c>
      <c r="B154" s="4" t="s">
        <v>22</v>
      </c>
      <c r="C154" s="4" t="s">
        <v>14</v>
      </c>
      <c r="D154" s="4" t="s">
        <v>15</v>
      </c>
      <c r="F154" s="5">
        <v>6</v>
      </c>
      <c r="G154" s="4" t="s">
        <v>2007</v>
      </c>
      <c r="H154" s="4" t="s">
        <v>165</v>
      </c>
      <c r="J154" s="4" t="s">
        <v>25</v>
      </c>
      <c r="K154" s="4" t="s">
        <v>18</v>
      </c>
      <c r="L154" s="4" t="s">
        <v>2008</v>
      </c>
      <c r="M154" s="6" t="str">
        <f>HYPERLINK("http://maps.google.com/maps?f=q&amp;hl=en&amp;geocode=&amp;q=-28.21767,153.52128")</f>
        <v>http://maps.google.com/maps?f=q&amp;hl=en&amp;geocode=&amp;q=-28.21767,153.52128</v>
      </c>
    </row>
    <row r="155" spans="1:13" ht="60" x14ac:dyDescent="0.25">
      <c r="A155" s="4" t="s">
        <v>2003</v>
      </c>
      <c r="B155" s="4" t="s">
        <v>34</v>
      </c>
      <c r="C155" s="4" t="s">
        <v>70</v>
      </c>
      <c r="D155" s="4" t="s">
        <v>15</v>
      </c>
      <c r="F155" s="5">
        <v>20</v>
      </c>
      <c r="G155" s="4" t="s">
        <v>2004</v>
      </c>
      <c r="H155" s="4" t="s">
        <v>551</v>
      </c>
      <c r="I155" s="4" t="s">
        <v>2005</v>
      </c>
      <c r="J155" s="4" t="s">
        <v>38</v>
      </c>
      <c r="K155" s="4" t="s">
        <v>31</v>
      </c>
      <c r="M155" s="6" t="str">
        <f>HYPERLINK("http://maps.google.com/maps?f=q&amp;hl=en&amp;geocode=&amp;q=-28.71603,153.29225")</f>
        <v>http://maps.google.com/maps?f=q&amp;hl=en&amp;geocode=&amp;q=-28.71603,153.29225</v>
      </c>
    </row>
    <row r="156" spans="1:13" ht="75" x14ac:dyDescent="0.25">
      <c r="A156" s="4" t="s">
        <v>1999</v>
      </c>
      <c r="B156" s="4" t="s">
        <v>22</v>
      </c>
      <c r="C156" s="4" t="s">
        <v>14</v>
      </c>
      <c r="D156" s="4" t="s">
        <v>15</v>
      </c>
      <c r="F156" s="5">
        <v>13</v>
      </c>
      <c r="G156" s="4" t="s">
        <v>2000</v>
      </c>
      <c r="H156" s="4" t="s">
        <v>703</v>
      </c>
      <c r="I156" s="4" t="s">
        <v>2001</v>
      </c>
      <c r="J156" s="4" t="s">
        <v>38</v>
      </c>
      <c r="K156" s="4" t="s">
        <v>66</v>
      </c>
      <c r="L156" s="4" t="s">
        <v>2002</v>
      </c>
      <c r="M156" s="6" t="str">
        <f>HYPERLINK("http://maps.google.com/maps?f=q&amp;hl=en&amp;geocode=&amp;q=-28.39314,153.5639799")</f>
        <v>http://maps.google.com/maps?f=q&amp;hl=en&amp;geocode=&amp;q=-28.39314,153.5639799</v>
      </c>
    </row>
    <row r="157" spans="1:13" ht="60" x14ac:dyDescent="0.25">
      <c r="A157" s="4" t="s">
        <v>1993</v>
      </c>
      <c r="B157" s="4" t="s">
        <v>28</v>
      </c>
      <c r="C157" s="4" t="s">
        <v>14</v>
      </c>
      <c r="D157" s="4" t="s">
        <v>677</v>
      </c>
      <c r="E157" s="4" t="s">
        <v>1994</v>
      </c>
      <c r="F157" s="5" t="s">
        <v>1995</v>
      </c>
      <c r="G157" s="4" t="s">
        <v>1996</v>
      </c>
      <c r="H157" s="4" t="s">
        <v>107</v>
      </c>
      <c r="I157" s="4" t="s">
        <v>1997</v>
      </c>
      <c r="L157" s="4" t="s">
        <v>1998</v>
      </c>
      <c r="M157" s="6" t="str">
        <f>HYPERLINK("http://maps.google.com/maps?f=q&amp;hl=en&amp;geocode=&amp;q=-28.87029,153.56924")</f>
        <v>http://maps.google.com/maps?f=q&amp;hl=en&amp;geocode=&amp;q=-28.87029,153.56924</v>
      </c>
    </row>
    <row r="158" spans="1:13" ht="60" x14ac:dyDescent="0.25">
      <c r="A158" s="4" t="s">
        <v>1989</v>
      </c>
      <c r="B158" s="4" t="s">
        <v>22</v>
      </c>
      <c r="C158" s="4" t="s">
        <v>14</v>
      </c>
      <c r="D158" s="4" t="s">
        <v>15</v>
      </c>
      <c r="F158" s="5" t="s">
        <v>1990</v>
      </c>
      <c r="G158" s="4" t="s">
        <v>588</v>
      </c>
      <c r="H158" s="4" t="s">
        <v>165</v>
      </c>
      <c r="I158" s="4" t="s">
        <v>1991</v>
      </c>
      <c r="J158" s="4" t="s">
        <v>25</v>
      </c>
      <c r="K158" s="4" t="s">
        <v>251</v>
      </c>
      <c r="L158" s="4" t="s">
        <v>1992</v>
      </c>
      <c r="M158" s="6" t="str">
        <f>HYPERLINK("http://maps.google.com/maps?f=q&amp;hl=en&amp;geocode=&amp;q=-28.23687,153.53804")</f>
        <v>http://maps.google.com/maps?f=q&amp;hl=en&amp;geocode=&amp;q=-28.23687,153.53804</v>
      </c>
    </row>
    <row r="159" spans="1:13" ht="60" x14ac:dyDescent="0.25">
      <c r="A159" s="4" t="s">
        <v>1985</v>
      </c>
      <c r="B159" s="4" t="s">
        <v>22</v>
      </c>
      <c r="C159" s="4" t="s">
        <v>14</v>
      </c>
      <c r="D159" s="4" t="s">
        <v>15</v>
      </c>
      <c r="F159" s="5">
        <v>10</v>
      </c>
      <c r="G159" s="4" t="s">
        <v>1986</v>
      </c>
      <c r="H159" s="4" t="s">
        <v>703</v>
      </c>
      <c r="I159" s="4" t="s">
        <v>1987</v>
      </c>
      <c r="J159" s="4" t="s">
        <v>44</v>
      </c>
      <c r="K159" s="4" t="s">
        <v>95</v>
      </c>
      <c r="L159" s="4" t="s">
        <v>1988</v>
      </c>
      <c r="M159" s="6" t="str">
        <f>HYPERLINK("http://maps.google.com/maps?f=q&amp;hl=en&amp;geocode=&amp;q=-28.40019,153.56225")</f>
        <v>http://maps.google.com/maps?f=q&amp;hl=en&amp;geocode=&amp;q=-28.40019,153.56225</v>
      </c>
    </row>
    <row r="160" spans="1:13" ht="60" x14ac:dyDescent="0.25">
      <c r="A160" s="4" t="s">
        <v>1981</v>
      </c>
      <c r="B160" s="4" t="s">
        <v>69</v>
      </c>
      <c r="C160" s="4" t="s">
        <v>14</v>
      </c>
      <c r="D160" s="4" t="s">
        <v>15</v>
      </c>
      <c r="F160" s="5">
        <v>15</v>
      </c>
      <c r="G160" s="4" t="s">
        <v>1982</v>
      </c>
      <c r="H160" s="4" t="s">
        <v>884</v>
      </c>
      <c r="I160" s="4" t="s">
        <v>1983</v>
      </c>
      <c r="J160" s="4" t="s">
        <v>19</v>
      </c>
      <c r="K160" s="4" t="s">
        <v>25</v>
      </c>
      <c r="L160" s="4" t="s">
        <v>1984</v>
      </c>
      <c r="M160" s="6" t="str">
        <f>HYPERLINK("http://maps.google.com/maps?f=q&amp;hl=en&amp;geocode=&amp;q=-29.46269,153.20419")</f>
        <v>http://maps.google.com/maps?f=q&amp;hl=en&amp;geocode=&amp;q=-29.46269,153.20419</v>
      </c>
    </row>
    <row r="161" spans="1:13" ht="60" x14ac:dyDescent="0.25">
      <c r="A161" s="4" t="s">
        <v>1979</v>
      </c>
      <c r="B161" s="4" t="s">
        <v>22</v>
      </c>
      <c r="C161" s="4" t="s">
        <v>70</v>
      </c>
      <c r="D161" s="4" t="s">
        <v>15</v>
      </c>
      <c r="F161" s="5" t="s">
        <v>86</v>
      </c>
      <c r="G161" s="4" t="s">
        <v>1980</v>
      </c>
      <c r="H161" s="4" t="s">
        <v>110</v>
      </c>
      <c r="J161" s="4" t="s">
        <v>19</v>
      </c>
      <c r="K161" s="4" t="s">
        <v>237</v>
      </c>
      <c r="L161" s="4" t="s">
        <v>74</v>
      </c>
      <c r="M161" s="6" t="str">
        <f>HYPERLINK("http://maps.google.com/maps?f=q&amp;hl=en&amp;geocode=&amp;q=-28.33041,153.37526")</f>
        <v>http://maps.google.com/maps?f=q&amp;hl=en&amp;geocode=&amp;q=-28.33041,153.37526</v>
      </c>
    </row>
    <row r="162" spans="1:13" ht="60" x14ac:dyDescent="0.25">
      <c r="A162" s="4" t="s">
        <v>1977</v>
      </c>
      <c r="B162" s="4" t="s">
        <v>69</v>
      </c>
      <c r="C162" s="4" t="s">
        <v>14</v>
      </c>
      <c r="D162" s="4" t="s">
        <v>15</v>
      </c>
      <c r="F162" s="5">
        <v>91</v>
      </c>
      <c r="G162" s="4" t="s">
        <v>405</v>
      </c>
      <c r="H162" s="4" t="s">
        <v>765</v>
      </c>
      <c r="I162" s="4" t="s">
        <v>1978</v>
      </c>
      <c r="J162" s="4" t="s">
        <v>19</v>
      </c>
      <c r="K162" s="4" t="s">
        <v>18</v>
      </c>
      <c r="M162" s="6" t="str">
        <f>HYPERLINK("http://maps.google.com/maps?f=q&amp;hl=en&amp;geocode=&amp;q=-29.70438,152.93427")</f>
        <v>http://maps.google.com/maps?f=q&amp;hl=en&amp;geocode=&amp;q=-29.70438,152.93427</v>
      </c>
    </row>
    <row r="163" spans="1:13" ht="60" x14ac:dyDescent="0.25">
      <c r="A163" s="4" t="s">
        <v>1974</v>
      </c>
      <c r="B163" s="4" t="s">
        <v>28</v>
      </c>
      <c r="C163" s="4" t="s">
        <v>70</v>
      </c>
      <c r="D163" s="4" t="s">
        <v>15</v>
      </c>
      <c r="F163" s="5" t="s">
        <v>1975</v>
      </c>
      <c r="G163" s="4" t="s">
        <v>668</v>
      </c>
      <c r="H163" s="4" t="s">
        <v>30</v>
      </c>
      <c r="I163" s="4" t="s">
        <v>1976</v>
      </c>
      <c r="J163" s="4" t="s">
        <v>18</v>
      </c>
      <c r="K163" s="4" t="s">
        <v>50</v>
      </c>
      <c r="M163" s="6" t="str">
        <f>HYPERLINK("http://maps.google.com/maps?f=q&amp;hl=en&amp;geocode=&amp;q=-28.78806,153.58983")</f>
        <v>http://maps.google.com/maps?f=q&amp;hl=en&amp;geocode=&amp;q=-28.78806,153.58983</v>
      </c>
    </row>
    <row r="164" spans="1:13" ht="60" x14ac:dyDescent="0.25">
      <c r="A164" s="4" t="s">
        <v>1971</v>
      </c>
      <c r="B164" s="4" t="s">
        <v>69</v>
      </c>
      <c r="C164" s="4" t="s">
        <v>14</v>
      </c>
      <c r="D164" s="4" t="s">
        <v>15</v>
      </c>
      <c r="F164" s="5">
        <v>4</v>
      </c>
      <c r="G164" s="4" t="s">
        <v>880</v>
      </c>
      <c r="H164" s="4" t="s">
        <v>143</v>
      </c>
      <c r="I164" s="4" t="s">
        <v>1972</v>
      </c>
      <c r="J164" s="4" t="s">
        <v>224</v>
      </c>
      <c r="K164" s="4" t="s">
        <v>50</v>
      </c>
      <c r="L164" s="4" t="s">
        <v>1973</v>
      </c>
      <c r="M164" s="6" t="str">
        <f>HYPERLINK("http://maps.google.com/maps?f=q&amp;hl=en&amp;geocode=&amp;q=-29.49179,153.23979")</f>
        <v>http://maps.google.com/maps?f=q&amp;hl=en&amp;geocode=&amp;q=-29.49179,153.23979</v>
      </c>
    </row>
    <row r="165" spans="1:13" ht="60" x14ac:dyDescent="0.25">
      <c r="A165" s="4" t="s">
        <v>1968</v>
      </c>
      <c r="B165" s="4" t="s">
        <v>69</v>
      </c>
      <c r="C165" s="4" t="s">
        <v>70</v>
      </c>
      <c r="D165" s="4" t="s">
        <v>15</v>
      </c>
      <c r="F165" s="5">
        <v>6</v>
      </c>
      <c r="G165" s="4" t="s">
        <v>1969</v>
      </c>
      <c r="H165" s="4" t="s">
        <v>143</v>
      </c>
      <c r="I165" s="4" t="s">
        <v>1970</v>
      </c>
      <c r="J165" s="4" t="s">
        <v>19</v>
      </c>
      <c r="K165" s="4" t="s">
        <v>31</v>
      </c>
      <c r="L165" s="4" t="s">
        <v>1374</v>
      </c>
      <c r="M165" s="6" t="str">
        <f>HYPERLINK("http://maps.google.com/maps?f=q&amp;hl=en&amp;geocode=&amp;q=-29.48962,153.23236")</f>
        <v>http://maps.google.com/maps?f=q&amp;hl=en&amp;geocode=&amp;q=-29.48962,153.23236</v>
      </c>
    </row>
    <row r="166" spans="1:13" ht="60" x14ac:dyDescent="0.25">
      <c r="A166" s="4" t="s">
        <v>1965</v>
      </c>
      <c r="B166" s="4" t="s">
        <v>22</v>
      </c>
      <c r="C166" s="4" t="s">
        <v>14</v>
      </c>
      <c r="D166" s="4" t="s">
        <v>15</v>
      </c>
      <c r="F166" s="5">
        <v>20</v>
      </c>
      <c r="G166" s="4" t="s">
        <v>1966</v>
      </c>
      <c r="H166" s="4" t="s">
        <v>110</v>
      </c>
      <c r="J166" s="4" t="s">
        <v>31</v>
      </c>
      <c r="K166" s="4" t="s">
        <v>25</v>
      </c>
      <c r="L166" s="4" t="s">
        <v>1967</v>
      </c>
      <c r="M166" s="6" t="str">
        <f>HYPERLINK("http://maps.google.com/maps?f=q&amp;hl=en&amp;geocode=&amp;q=-28.32924,153.38602")</f>
        <v>http://maps.google.com/maps?f=q&amp;hl=en&amp;geocode=&amp;q=-28.32924,153.38602</v>
      </c>
    </row>
    <row r="167" spans="1:13" ht="60" x14ac:dyDescent="0.25">
      <c r="A167" s="4" t="s">
        <v>1960</v>
      </c>
      <c r="B167" s="4" t="s">
        <v>22</v>
      </c>
      <c r="C167" s="4" t="s">
        <v>14</v>
      </c>
      <c r="D167" s="4" t="s">
        <v>15</v>
      </c>
      <c r="F167" s="5" t="s">
        <v>1961</v>
      </c>
      <c r="G167" s="4" t="s">
        <v>1962</v>
      </c>
      <c r="H167" s="4" t="s">
        <v>165</v>
      </c>
      <c r="I167" s="4" t="s">
        <v>1963</v>
      </c>
      <c r="J167" s="4" t="s">
        <v>18</v>
      </c>
      <c r="K167" s="4" t="s">
        <v>25</v>
      </c>
      <c r="L167" s="4" t="s">
        <v>1964</v>
      </c>
      <c r="M167" s="6" t="str">
        <f>HYPERLINK("http://maps.google.com/maps?f=q&amp;hl=en&amp;geocode=&amp;q=-28.21155,153.53368")</f>
        <v>http://maps.google.com/maps?f=q&amp;hl=en&amp;geocode=&amp;q=-28.21155,153.53368</v>
      </c>
    </row>
    <row r="168" spans="1:13" ht="60" x14ac:dyDescent="0.25">
      <c r="A168" s="4" t="s">
        <v>1957</v>
      </c>
      <c r="B168" s="4" t="s">
        <v>82</v>
      </c>
      <c r="C168" s="4" t="s">
        <v>70</v>
      </c>
      <c r="D168" s="4" t="s">
        <v>15</v>
      </c>
      <c r="F168" s="5">
        <v>100</v>
      </c>
      <c r="G168" s="4" t="s">
        <v>391</v>
      </c>
      <c r="H168" s="4" t="s">
        <v>154</v>
      </c>
      <c r="I168" s="4" t="s">
        <v>1958</v>
      </c>
      <c r="J168" s="4" t="s">
        <v>66</v>
      </c>
      <c r="K168" s="4" t="s">
        <v>49</v>
      </c>
      <c r="L168" s="4" t="s">
        <v>1959</v>
      </c>
      <c r="M168" s="6" t="str">
        <f>HYPERLINK("http://maps.google.com/maps?f=q&amp;hl=en&amp;geocode=&amp;q=-28.50636,153.53781")</f>
        <v>http://maps.google.com/maps?f=q&amp;hl=en&amp;geocode=&amp;q=-28.50636,153.53781</v>
      </c>
    </row>
    <row r="169" spans="1:13" ht="60" x14ac:dyDescent="0.25">
      <c r="A169" s="4" t="s">
        <v>1954</v>
      </c>
      <c r="B169" s="4" t="s">
        <v>13</v>
      </c>
      <c r="C169" s="4" t="s">
        <v>14</v>
      </c>
      <c r="D169" s="4" t="s">
        <v>15</v>
      </c>
      <c r="F169" s="5">
        <v>55</v>
      </c>
      <c r="G169" s="4" t="s">
        <v>217</v>
      </c>
      <c r="H169" s="4" t="s">
        <v>218</v>
      </c>
      <c r="I169" s="4" t="s">
        <v>1955</v>
      </c>
      <c r="J169" s="4" t="s">
        <v>38</v>
      </c>
      <c r="K169" s="4" t="s">
        <v>19</v>
      </c>
      <c r="L169" s="4" t="s">
        <v>1956</v>
      </c>
      <c r="M169" s="6" t="str">
        <f>HYPERLINK("http://maps.google.com/maps?f=q&amp;hl=en&amp;geocode=&amp;q=-28.87076,153.04543")</f>
        <v>http://maps.google.com/maps?f=q&amp;hl=en&amp;geocode=&amp;q=-28.87076,153.04543</v>
      </c>
    </row>
    <row r="170" spans="1:13" ht="60" x14ac:dyDescent="0.25">
      <c r="A170" s="4" t="s">
        <v>1951</v>
      </c>
      <c r="B170" s="4" t="s">
        <v>22</v>
      </c>
      <c r="C170" s="4" t="s">
        <v>14</v>
      </c>
      <c r="D170" s="4" t="s">
        <v>15</v>
      </c>
      <c r="F170" s="5">
        <v>47</v>
      </c>
      <c r="G170" s="4" t="s">
        <v>1952</v>
      </c>
      <c r="H170" s="4" t="s">
        <v>1953</v>
      </c>
      <c r="J170" s="4" t="s">
        <v>19</v>
      </c>
      <c r="L170" s="4" t="s">
        <v>435</v>
      </c>
      <c r="M170" s="6" t="str">
        <f>HYPERLINK("http://maps.google.com/maps?f=q&amp;hl=en&amp;geocode=&amp;q=-28.2156,153.55311")</f>
        <v>http://maps.google.com/maps?f=q&amp;hl=en&amp;geocode=&amp;q=-28.2156,153.55311</v>
      </c>
    </row>
    <row r="171" spans="1:13" ht="75" x14ac:dyDescent="0.25">
      <c r="A171" s="4" t="s">
        <v>1946</v>
      </c>
      <c r="B171" s="4" t="s">
        <v>22</v>
      </c>
      <c r="C171" s="4" t="s">
        <v>70</v>
      </c>
      <c r="D171" s="4" t="s">
        <v>15</v>
      </c>
      <c r="F171" s="5" t="s">
        <v>1947</v>
      </c>
      <c r="G171" s="4" t="s">
        <v>1948</v>
      </c>
      <c r="H171" s="4" t="s">
        <v>55</v>
      </c>
      <c r="I171" s="4" t="s">
        <v>1949</v>
      </c>
      <c r="J171" s="4" t="s">
        <v>25</v>
      </c>
      <c r="K171" s="4" t="s">
        <v>224</v>
      </c>
      <c r="L171" s="4" t="s">
        <v>1950</v>
      </c>
      <c r="M171" s="6" t="str">
        <f>HYPERLINK("http://maps.google.com/maps?f=q&amp;hl=en&amp;geocode=&amp;q=-28.17921,153.5461599")</f>
        <v>http://maps.google.com/maps?f=q&amp;hl=en&amp;geocode=&amp;q=-28.17921,153.5461599</v>
      </c>
    </row>
    <row r="172" spans="1:13" ht="60" x14ac:dyDescent="0.25">
      <c r="A172" s="4" t="s">
        <v>1942</v>
      </c>
      <c r="B172" s="4" t="s">
        <v>13</v>
      </c>
      <c r="C172" s="4" t="s">
        <v>70</v>
      </c>
      <c r="D172" s="4" t="s">
        <v>15</v>
      </c>
      <c r="F172" s="5">
        <v>1170</v>
      </c>
      <c r="G172" s="4" t="s">
        <v>1943</v>
      </c>
      <c r="H172" s="4" t="s">
        <v>218</v>
      </c>
      <c r="I172" s="4" t="s">
        <v>1944</v>
      </c>
      <c r="J172" s="4" t="s">
        <v>25</v>
      </c>
      <c r="K172" s="4" t="s">
        <v>19</v>
      </c>
      <c r="L172" s="4" t="s">
        <v>1945</v>
      </c>
      <c r="M172" s="6" t="str">
        <f>HYPERLINK("http://maps.google.com/maps?f=q&amp;hl=en&amp;geocode=&amp;q=-28.96793,152.91257")</f>
        <v>http://maps.google.com/maps?f=q&amp;hl=en&amp;geocode=&amp;q=-28.96793,152.91257</v>
      </c>
    </row>
    <row r="173" spans="1:13" ht="60" x14ac:dyDescent="0.25">
      <c r="A173" s="4" t="s">
        <v>1938</v>
      </c>
      <c r="B173" s="4" t="s">
        <v>34</v>
      </c>
      <c r="C173" s="4" t="s">
        <v>14</v>
      </c>
      <c r="D173" s="4" t="s">
        <v>41</v>
      </c>
      <c r="F173" s="5">
        <v>522</v>
      </c>
      <c r="G173" s="4" t="s">
        <v>1939</v>
      </c>
      <c r="H173" s="4" t="s">
        <v>1593</v>
      </c>
      <c r="I173" s="4" t="s">
        <v>1940</v>
      </c>
      <c r="J173" s="4" t="s">
        <v>237</v>
      </c>
      <c r="K173" s="4" t="s">
        <v>31</v>
      </c>
      <c r="L173" s="4" t="s">
        <v>1941</v>
      </c>
      <c r="M173" s="6" t="str">
        <f>HYPERLINK("http://maps.google.com/maps?f=q&amp;hl=en&amp;geocode=&amp;q=-28.82615,153.22013")</f>
        <v>http://maps.google.com/maps?f=q&amp;hl=en&amp;geocode=&amp;q=-28.82615,153.22013</v>
      </c>
    </row>
    <row r="174" spans="1:13" ht="60" x14ac:dyDescent="0.25">
      <c r="A174" s="4" t="s">
        <v>1934</v>
      </c>
      <c r="B174" s="4" t="s">
        <v>28</v>
      </c>
      <c r="C174" s="4" t="s">
        <v>14</v>
      </c>
      <c r="F174" s="5">
        <v>7</v>
      </c>
      <c r="G174" s="4" t="s">
        <v>1935</v>
      </c>
      <c r="H174" s="4" t="s">
        <v>121</v>
      </c>
      <c r="I174" s="4" t="s">
        <v>1936</v>
      </c>
      <c r="J174" s="4" t="s">
        <v>224</v>
      </c>
      <c r="K174" s="4" t="s">
        <v>18</v>
      </c>
      <c r="L174" s="4" t="s">
        <v>1937</v>
      </c>
      <c r="M174" s="6" t="str">
        <f>HYPERLINK("http://maps.google.com/maps?f=q&amp;hl=en&amp;geocode=&amp;q=-28.84337,153.44528")</f>
        <v>http://maps.google.com/maps?f=q&amp;hl=en&amp;geocode=&amp;q=-28.84337,153.44528</v>
      </c>
    </row>
    <row r="175" spans="1:13" ht="60" x14ac:dyDescent="0.25">
      <c r="A175" s="4" t="s">
        <v>1930</v>
      </c>
      <c r="B175" s="4" t="s">
        <v>22</v>
      </c>
      <c r="C175" s="4" t="s">
        <v>14</v>
      </c>
      <c r="D175" s="4" t="s">
        <v>15</v>
      </c>
      <c r="F175" s="5" t="s">
        <v>1931</v>
      </c>
      <c r="G175" s="4" t="s">
        <v>1023</v>
      </c>
      <c r="H175" s="4" t="s">
        <v>165</v>
      </c>
      <c r="I175" s="4" t="s">
        <v>1932</v>
      </c>
      <c r="J175" s="4" t="s">
        <v>31</v>
      </c>
      <c r="K175" s="4" t="s">
        <v>57</v>
      </c>
      <c r="L175" s="4" t="s">
        <v>1933</v>
      </c>
      <c r="M175" s="6" t="str">
        <f>HYPERLINK("http://maps.google.com/maps?f=q&amp;hl=en&amp;geocode=&amp;q=-28.23008,153.5371")</f>
        <v>http://maps.google.com/maps?f=q&amp;hl=en&amp;geocode=&amp;q=-28.23008,153.5371</v>
      </c>
    </row>
    <row r="176" spans="1:13" ht="60" x14ac:dyDescent="0.25">
      <c r="A176" s="4" t="s">
        <v>1928</v>
      </c>
      <c r="B176" s="4" t="s">
        <v>82</v>
      </c>
      <c r="C176" s="4" t="s">
        <v>70</v>
      </c>
      <c r="D176" s="4" t="s">
        <v>41</v>
      </c>
      <c r="F176" s="5">
        <v>48</v>
      </c>
      <c r="G176" s="4" t="s">
        <v>1929</v>
      </c>
      <c r="H176" s="4" t="s">
        <v>191</v>
      </c>
      <c r="J176" s="4" t="s">
        <v>25</v>
      </c>
      <c r="K176" s="4" t="s">
        <v>237</v>
      </c>
      <c r="M176" s="6" t="str">
        <f>HYPERLINK("http://maps.google.com/maps?f=q&amp;hl=en&amp;geocode=&amp;q=-28.53945,153.54886")</f>
        <v>http://maps.google.com/maps?f=q&amp;hl=en&amp;geocode=&amp;q=-28.53945,153.54886</v>
      </c>
    </row>
    <row r="177" spans="1:13" ht="60" x14ac:dyDescent="0.25">
      <c r="A177" s="4" t="s">
        <v>1925</v>
      </c>
      <c r="B177" s="4" t="s">
        <v>69</v>
      </c>
      <c r="C177" s="4" t="s">
        <v>14</v>
      </c>
      <c r="D177" s="4" t="s">
        <v>41</v>
      </c>
      <c r="F177" s="5">
        <v>5</v>
      </c>
      <c r="G177" s="4" t="s">
        <v>1926</v>
      </c>
      <c r="H177" s="4" t="s">
        <v>861</v>
      </c>
      <c r="J177" s="4" t="s">
        <v>74</v>
      </c>
      <c r="K177" s="4" t="s">
        <v>25</v>
      </c>
      <c r="L177" s="4" t="s">
        <v>1927</v>
      </c>
      <c r="M177" s="6" t="str">
        <f>HYPERLINK("http://maps.google.com/maps?f=q&amp;hl=en&amp;geocode=&amp;q=-29.46496,153.21085")</f>
        <v>http://maps.google.com/maps?f=q&amp;hl=en&amp;geocode=&amp;q=-29.46496,153.21085</v>
      </c>
    </row>
    <row r="178" spans="1:13" ht="60" x14ac:dyDescent="0.25">
      <c r="A178" s="4" t="s">
        <v>1920</v>
      </c>
      <c r="B178" s="4" t="s">
        <v>34</v>
      </c>
      <c r="C178" s="4" t="s">
        <v>70</v>
      </c>
      <c r="D178" s="4" t="s">
        <v>41</v>
      </c>
      <c r="F178" s="5">
        <v>98</v>
      </c>
      <c r="G178" s="4" t="s">
        <v>1921</v>
      </c>
      <c r="H178" s="4" t="s">
        <v>1922</v>
      </c>
      <c r="I178" s="4" t="s">
        <v>1923</v>
      </c>
      <c r="J178" s="4" t="s">
        <v>145</v>
      </c>
      <c r="K178" s="4" t="s">
        <v>44</v>
      </c>
      <c r="L178" s="4" t="s">
        <v>1924</v>
      </c>
      <c r="M178" s="6" t="str">
        <f>HYPERLINK("http://maps.google.com/maps?f=q&amp;hl=en&amp;geocode=&amp;q=-29.06824,153.34581")</f>
        <v>http://maps.google.com/maps?f=q&amp;hl=en&amp;geocode=&amp;q=-29.06824,153.34581</v>
      </c>
    </row>
    <row r="179" spans="1:13" ht="60" x14ac:dyDescent="0.25">
      <c r="A179" s="4" t="s">
        <v>1918</v>
      </c>
      <c r="B179" s="4" t="s">
        <v>13</v>
      </c>
      <c r="C179" s="4" t="s">
        <v>14</v>
      </c>
      <c r="D179" s="4" t="s">
        <v>15</v>
      </c>
      <c r="F179" s="5">
        <v>1</v>
      </c>
      <c r="G179" s="4" t="s">
        <v>1919</v>
      </c>
      <c r="H179" s="4" t="s">
        <v>218</v>
      </c>
      <c r="J179" s="4" t="s">
        <v>117</v>
      </c>
      <c r="K179" s="4" t="s">
        <v>57</v>
      </c>
      <c r="M179" s="6" t="str">
        <f>HYPERLINK("http://maps.google.com/maps?f=q&amp;hl=en&amp;geocode=&amp;q=-28.87383,153.04751")</f>
        <v>http://maps.google.com/maps?f=q&amp;hl=en&amp;geocode=&amp;q=-28.87383,153.04751</v>
      </c>
    </row>
    <row r="180" spans="1:13" ht="60" x14ac:dyDescent="0.25">
      <c r="A180" s="4" t="s">
        <v>1916</v>
      </c>
      <c r="B180" s="4" t="s">
        <v>34</v>
      </c>
      <c r="C180" s="4" t="s">
        <v>14</v>
      </c>
      <c r="D180" s="4" t="s">
        <v>15</v>
      </c>
      <c r="F180" s="5">
        <v>89</v>
      </c>
      <c r="G180" s="4" t="s">
        <v>1917</v>
      </c>
      <c r="H180" s="4" t="s">
        <v>245</v>
      </c>
      <c r="J180" s="4" t="s">
        <v>18</v>
      </c>
      <c r="K180" s="4" t="s">
        <v>19</v>
      </c>
      <c r="M180" s="6" t="str">
        <f>HYPERLINK("http://maps.google.com/maps?f=q&amp;hl=en&amp;geocode=&amp;q=-28.82192,153.29344")</f>
        <v>http://maps.google.com/maps?f=q&amp;hl=en&amp;geocode=&amp;q=-28.82192,153.29344</v>
      </c>
    </row>
    <row r="181" spans="1:13" ht="60" x14ac:dyDescent="0.25">
      <c r="A181" s="4" t="s">
        <v>1913</v>
      </c>
      <c r="B181" s="4" t="s">
        <v>82</v>
      </c>
      <c r="C181" s="4" t="s">
        <v>70</v>
      </c>
      <c r="D181" s="4" t="s">
        <v>15</v>
      </c>
      <c r="F181" s="5">
        <v>32</v>
      </c>
      <c r="G181" s="4" t="s">
        <v>1914</v>
      </c>
      <c r="H181" s="4" t="s">
        <v>84</v>
      </c>
      <c r="I181" s="4" t="s">
        <v>1915</v>
      </c>
      <c r="J181" s="4" t="s">
        <v>25</v>
      </c>
      <c r="K181" s="4" t="s">
        <v>18</v>
      </c>
      <c r="L181" s="4" t="s">
        <v>981</v>
      </c>
      <c r="M181" s="6" t="str">
        <f>HYPERLINK("http://maps.google.com/maps?f=q&amp;hl=en&amp;geocode=&amp;q=-28.6473,153.61843")</f>
        <v>http://maps.google.com/maps?f=q&amp;hl=en&amp;geocode=&amp;q=-28.6473,153.61843</v>
      </c>
    </row>
    <row r="182" spans="1:13" ht="60" x14ac:dyDescent="0.25">
      <c r="A182" s="4" t="s">
        <v>1908</v>
      </c>
      <c r="B182" s="4" t="s">
        <v>82</v>
      </c>
      <c r="C182" s="4" t="s">
        <v>14</v>
      </c>
      <c r="D182" s="4" t="s">
        <v>15</v>
      </c>
      <c r="F182" s="5" t="s">
        <v>1909</v>
      </c>
      <c r="G182" s="4" t="s">
        <v>1910</v>
      </c>
      <c r="H182" s="4" t="s">
        <v>84</v>
      </c>
      <c r="I182" s="4" t="s">
        <v>1911</v>
      </c>
      <c r="J182" s="4" t="s">
        <v>25</v>
      </c>
      <c r="K182" s="4" t="s">
        <v>31</v>
      </c>
      <c r="L182" s="4" t="s">
        <v>1912</v>
      </c>
      <c r="M182" s="6" t="str">
        <f>HYPERLINK("http://maps.google.com/maps?f=q&amp;hl=en&amp;geocode=&amp;q=-28.6352,153.5868")</f>
        <v>http://maps.google.com/maps?f=q&amp;hl=en&amp;geocode=&amp;q=-28.6352,153.5868</v>
      </c>
    </row>
    <row r="183" spans="1:13" ht="60" x14ac:dyDescent="0.25">
      <c r="A183" s="4" t="s">
        <v>1904</v>
      </c>
      <c r="B183" s="4" t="s">
        <v>28</v>
      </c>
      <c r="C183" s="4" t="s">
        <v>14</v>
      </c>
      <c r="D183" s="4" t="s">
        <v>41</v>
      </c>
      <c r="F183" s="5">
        <v>10</v>
      </c>
      <c r="G183" s="4" t="s">
        <v>1905</v>
      </c>
      <c r="H183" s="4" t="s">
        <v>30</v>
      </c>
      <c r="I183" s="4" t="s">
        <v>1906</v>
      </c>
      <c r="J183" s="4" t="s">
        <v>66</v>
      </c>
      <c r="K183" s="4" t="s">
        <v>49</v>
      </c>
      <c r="L183" s="4" t="s">
        <v>1907</v>
      </c>
      <c r="M183" s="6" t="str">
        <f>HYPERLINK("http://maps.google.com/maps?f=q&amp;hl=en&amp;geocode=&amp;q=-28.79434,153.58756")</f>
        <v>http://maps.google.com/maps?f=q&amp;hl=en&amp;geocode=&amp;q=-28.79434,153.58756</v>
      </c>
    </row>
    <row r="184" spans="1:13" ht="60" x14ac:dyDescent="0.25">
      <c r="A184" s="4" t="s">
        <v>1901</v>
      </c>
      <c r="B184" s="4" t="s">
        <v>69</v>
      </c>
      <c r="C184" s="4" t="s">
        <v>14</v>
      </c>
      <c r="D184" s="4" t="s">
        <v>41</v>
      </c>
      <c r="F184" s="5">
        <v>3</v>
      </c>
      <c r="G184" s="4" t="s">
        <v>1902</v>
      </c>
      <c r="H184" s="4" t="s">
        <v>349</v>
      </c>
      <c r="I184" s="4" t="s">
        <v>1903</v>
      </c>
      <c r="J184" s="4" t="s">
        <v>49</v>
      </c>
      <c r="K184" s="4" t="s">
        <v>251</v>
      </c>
      <c r="L184" s="4" t="s">
        <v>44</v>
      </c>
      <c r="M184" s="6" t="str">
        <f>HYPERLINK("http://maps.google.com/maps?f=q&amp;hl=en&amp;geocode=&amp;q=-29.68869,152.95048")</f>
        <v>http://maps.google.com/maps?f=q&amp;hl=en&amp;geocode=&amp;q=-29.68869,152.95048</v>
      </c>
    </row>
    <row r="185" spans="1:13" ht="60" x14ac:dyDescent="0.25">
      <c r="A185" s="4" t="s">
        <v>1899</v>
      </c>
      <c r="B185" s="4" t="s">
        <v>82</v>
      </c>
      <c r="C185" s="4" t="s">
        <v>14</v>
      </c>
      <c r="D185" s="4" t="s">
        <v>15</v>
      </c>
      <c r="F185" s="5">
        <v>1</v>
      </c>
      <c r="G185" s="4" t="s">
        <v>1119</v>
      </c>
      <c r="H185" s="4" t="s">
        <v>194</v>
      </c>
      <c r="I185" s="4" t="s">
        <v>1900</v>
      </c>
      <c r="J185" s="4" t="s">
        <v>445</v>
      </c>
      <c r="K185" s="4" t="s">
        <v>18</v>
      </c>
      <c r="M185" s="6" t="str">
        <f>HYPERLINK("http://maps.google.com/maps?f=q&amp;hl=en&amp;geocode=&amp;q=-28.55144,153.49759")</f>
        <v>http://maps.google.com/maps?f=q&amp;hl=en&amp;geocode=&amp;q=-28.55144,153.49759</v>
      </c>
    </row>
    <row r="186" spans="1:13" ht="60" x14ac:dyDescent="0.25">
      <c r="A186" s="4" t="s">
        <v>1895</v>
      </c>
      <c r="B186" s="4" t="s">
        <v>22</v>
      </c>
      <c r="C186" s="4" t="s">
        <v>14</v>
      </c>
      <c r="D186" s="4" t="s">
        <v>15</v>
      </c>
      <c r="F186" s="5">
        <v>13</v>
      </c>
      <c r="G186" s="4" t="s">
        <v>1896</v>
      </c>
      <c r="H186" s="4" t="s">
        <v>703</v>
      </c>
      <c r="I186" s="4" t="s">
        <v>1897</v>
      </c>
      <c r="J186" s="4" t="s">
        <v>31</v>
      </c>
      <c r="K186" s="4" t="s">
        <v>18</v>
      </c>
      <c r="L186" s="4" t="s">
        <v>1898</v>
      </c>
      <c r="M186" s="6" t="str">
        <f>HYPERLINK("http://maps.google.com/maps?f=q&amp;hl=en&amp;geocode=&amp;q=-28.37147,153.55803")</f>
        <v>http://maps.google.com/maps?f=q&amp;hl=en&amp;geocode=&amp;q=-28.37147,153.55803</v>
      </c>
    </row>
    <row r="187" spans="1:13" ht="60" x14ac:dyDescent="0.25">
      <c r="A187" s="4" t="s">
        <v>1891</v>
      </c>
      <c r="B187" s="4" t="s">
        <v>28</v>
      </c>
      <c r="C187" s="4" t="s">
        <v>14</v>
      </c>
      <c r="D187" s="4" t="s">
        <v>15</v>
      </c>
      <c r="F187" s="5">
        <v>14</v>
      </c>
      <c r="G187" s="4" t="s">
        <v>1892</v>
      </c>
      <c r="H187" s="4" t="s">
        <v>464</v>
      </c>
      <c r="I187" s="4" t="s">
        <v>1893</v>
      </c>
      <c r="J187" s="4" t="s">
        <v>31</v>
      </c>
      <c r="K187" s="4" t="s">
        <v>19</v>
      </c>
      <c r="L187" s="4" t="s">
        <v>1894</v>
      </c>
      <c r="M187" s="6" t="str">
        <f>HYPERLINK("http://maps.google.com/maps?f=q&amp;hl=en&amp;geocode=&amp;q=-28.84971,153.59629")</f>
        <v>http://maps.google.com/maps?f=q&amp;hl=en&amp;geocode=&amp;q=-28.84971,153.59629</v>
      </c>
    </row>
    <row r="188" spans="1:13" ht="60" x14ac:dyDescent="0.25">
      <c r="A188" s="4" t="s">
        <v>1887</v>
      </c>
      <c r="B188" s="4" t="s">
        <v>82</v>
      </c>
      <c r="C188" s="4" t="s">
        <v>70</v>
      </c>
      <c r="D188" s="4" t="s">
        <v>15</v>
      </c>
      <c r="F188" s="5">
        <v>52</v>
      </c>
      <c r="G188" s="4" t="s">
        <v>1888</v>
      </c>
      <c r="H188" s="4" t="s">
        <v>84</v>
      </c>
      <c r="I188" s="4" t="s">
        <v>1889</v>
      </c>
      <c r="J188" s="4" t="s">
        <v>19</v>
      </c>
      <c r="K188" s="4" t="s">
        <v>57</v>
      </c>
      <c r="L188" s="4" t="s">
        <v>1890</v>
      </c>
      <c r="M188" s="6" t="str">
        <f>HYPERLINK("http://maps.google.com/maps?f=q&amp;hl=en&amp;geocode=&amp;q=-28.64883,153.62152")</f>
        <v>http://maps.google.com/maps?f=q&amp;hl=en&amp;geocode=&amp;q=-28.64883,153.62152</v>
      </c>
    </row>
    <row r="189" spans="1:13" ht="75" x14ac:dyDescent="0.25">
      <c r="A189" s="4" t="s">
        <v>1884</v>
      </c>
      <c r="B189" s="4" t="s">
        <v>22</v>
      </c>
      <c r="C189" s="4" t="s">
        <v>14</v>
      </c>
      <c r="D189" s="4" t="s">
        <v>15</v>
      </c>
      <c r="F189" s="5">
        <v>9</v>
      </c>
      <c r="G189" s="4" t="s">
        <v>227</v>
      </c>
      <c r="H189" s="4" t="s">
        <v>165</v>
      </c>
      <c r="I189" s="4" t="s">
        <v>1885</v>
      </c>
      <c r="J189" s="4" t="s">
        <v>19</v>
      </c>
      <c r="K189" s="4" t="s">
        <v>18</v>
      </c>
      <c r="L189" s="4" t="s">
        <v>1886</v>
      </c>
      <c r="M189" s="6" t="str">
        <f>HYPERLINK("http://maps.google.com/maps?f=q&amp;hl=en&amp;geocode=&amp;q=-28.21594,153.5289699")</f>
        <v>http://maps.google.com/maps?f=q&amp;hl=en&amp;geocode=&amp;q=-28.21594,153.5289699</v>
      </c>
    </row>
    <row r="190" spans="1:13" ht="60" x14ac:dyDescent="0.25">
      <c r="A190" s="4" t="s">
        <v>1882</v>
      </c>
      <c r="B190" s="4" t="s">
        <v>22</v>
      </c>
      <c r="C190" s="4" t="s">
        <v>14</v>
      </c>
      <c r="D190" s="4" t="s">
        <v>15</v>
      </c>
      <c r="F190" s="5">
        <v>6</v>
      </c>
      <c r="G190" s="4" t="s">
        <v>227</v>
      </c>
      <c r="H190" s="4" t="s">
        <v>165</v>
      </c>
      <c r="I190" s="4" t="s">
        <v>1883</v>
      </c>
      <c r="J190" s="4" t="s">
        <v>19</v>
      </c>
      <c r="K190" s="4" t="s">
        <v>44</v>
      </c>
      <c r="M190" s="6" t="str">
        <f>HYPERLINK("http://maps.google.com/maps?f=q&amp;hl=en&amp;geocode=&amp;q=-28.21578,153.52962")</f>
        <v>http://maps.google.com/maps?f=q&amp;hl=en&amp;geocode=&amp;q=-28.21578,153.52962</v>
      </c>
    </row>
    <row r="191" spans="1:13" ht="60" x14ac:dyDescent="0.25">
      <c r="A191" s="4" t="s">
        <v>1880</v>
      </c>
      <c r="B191" s="4" t="s">
        <v>69</v>
      </c>
      <c r="C191" s="4" t="s">
        <v>14</v>
      </c>
      <c r="D191" s="4" t="s">
        <v>677</v>
      </c>
      <c r="E191" s="4" t="s">
        <v>1881</v>
      </c>
      <c r="F191" s="5">
        <v>15</v>
      </c>
      <c r="G191" s="4" t="s">
        <v>860</v>
      </c>
      <c r="H191" s="4" t="s">
        <v>861</v>
      </c>
      <c r="J191" s="4" t="s">
        <v>25</v>
      </c>
      <c r="K191" s="4" t="s">
        <v>49</v>
      </c>
      <c r="M191" s="6" t="str">
        <f>HYPERLINK("http://maps.google.com/maps?f=q&amp;hl=en&amp;geocode=&amp;q=-29.4623,153.21765")</f>
        <v>http://maps.google.com/maps?f=q&amp;hl=en&amp;geocode=&amp;q=-29.4623,153.21765</v>
      </c>
    </row>
    <row r="192" spans="1:13" ht="60" x14ac:dyDescent="0.25">
      <c r="A192" s="4" t="s">
        <v>1877</v>
      </c>
      <c r="B192" s="4" t="s">
        <v>28</v>
      </c>
      <c r="C192" s="4" t="s">
        <v>14</v>
      </c>
      <c r="D192" s="4" t="s">
        <v>335</v>
      </c>
      <c r="F192" s="5">
        <v>11</v>
      </c>
      <c r="G192" s="4" t="s">
        <v>1878</v>
      </c>
      <c r="H192" s="4" t="s">
        <v>464</v>
      </c>
      <c r="I192" s="4" t="s">
        <v>31</v>
      </c>
      <c r="J192" s="4" t="s">
        <v>19</v>
      </c>
      <c r="K192" s="4" t="s">
        <v>31</v>
      </c>
      <c r="L192" s="4" t="s">
        <v>1879</v>
      </c>
      <c r="M192" s="6" t="str">
        <f>HYPERLINK("http://maps.google.com/maps?f=q&amp;hl=en&amp;geocode=&amp;q=-28.86018,153.59264")</f>
        <v>http://maps.google.com/maps?f=q&amp;hl=en&amp;geocode=&amp;q=-28.86018,153.59264</v>
      </c>
    </row>
    <row r="193" spans="1:13" ht="60" x14ac:dyDescent="0.25">
      <c r="A193" s="4" t="s">
        <v>1874</v>
      </c>
      <c r="B193" s="4" t="s">
        <v>82</v>
      </c>
      <c r="C193" s="4" t="s">
        <v>70</v>
      </c>
      <c r="D193" s="4" t="s">
        <v>41</v>
      </c>
      <c r="F193" s="5" t="s">
        <v>1875</v>
      </c>
      <c r="G193" s="4" t="s">
        <v>1662</v>
      </c>
      <c r="H193" s="4" t="s">
        <v>832</v>
      </c>
      <c r="J193" s="4" t="s">
        <v>251</v>
      </c>
      <c r="K193" s="4" t="s">
        <v>18</v>
      </c>
      <c r="L193" s="4" t="s">
        <v>1876</v>
      </c>
      <c r="M193" s="6" t="str">
        <f>HYPERLINK("http://maps.google.com/maps?f=q&amp;hl=en&amp;geocode=&amp;q=-28.68049,153.60638")</f>
        <v>http://maps.google.com/maps?f=q&amp;hl=en&amp;geocode=&amp;q=-28.68049,153.60638</v>
      </c>
    </row>
    <row r="194" spans="1:13" ht="60" x14ac:dyDescent="0.25">
      <c r="A194" s="4" t="s">
        <v>1871</v>
      </c>
      <c r="B194" s="4" t="s">
        <v>22</v>
      </c>
      <c r="C194" s="4" t="s">
        <v>14</v>
      </c>
      <c r="D194" s="4" t="s">
        <v>15</v>
      </c>
      <c r="F194" s="5">
        <v>76</v>
      </c>
      <c r="G194" s="4" t="s">
        <v>1872</v>
      </c>
      <c r="H194" s="4" t="s">
        <v>231</v>
      </c>
      <c r="I194" s="4" t="s">
        <v>1873</v>
      </c>
      <c r="J194" s="4" t="s">
        <v>50</v>
      </c>
      <c r="K194" s="4" t="s">
        <v>19</v>
      </c>
      <c r="M194" s="6" t="str">
        <f>HYPERLINK("http://maps.google.com/maps?f=q&amp;hl=en&amp;geocode=&amp;q=-28.21119,153.49179")</f>
        <v>http://maps.google.com/maps?f=q&amp;hl=en&amp;geocode=&amp;q=-28.21119,153.49179</v>
      </c>
    </row>
    <row r="195" spans="1:13" ht="60" x14ac:dyDescent="0.25">
      <c r="A195" s="4" t="s">
        <v>1867</v>
      </c>
      <c r="B195" s="4" t="s">
        <v>34</v>
      </c>
      <c r="C195" s="4" t="s">
        <v>14</v>
      </c>
      <c r="D195" s="4" t="s">
        <v>15</v>
      </c>
      <c r="F195" s="5" t="s">
        <v>1868</v>
      </c>
      <c r="G195" s="4" t="s">
        <v>1869</v>
      </c>
      <c r="H195" s="4" t="s">
        <v>61</v>
      </c>
      <c r="I195" s="4" t="s">
        <v>1796</v>
      </c>
      <c r="J195" s="4" t="s">
        <v>74</v>
      </c>
      <c r="K195" s="4" t="s">
        <v>44</v>
      </c>
      <c r="L195" s="4" t="s">
        <v>1870</v>
      </c>
      <c r="M195" s="6" t="str">
        <f>HYPERLINK("http://maps.google.com/maps?f=q&amp;hl=en&amp;geocode=&amp;q=-28.82569,153.32369")</f>
        <v>http://maps.google.com/maps?f=q&amp;hl=en&amp;geocode=&amp;q=-28.82569,153.32369</v>
      </c>
    </row>
    <row r="196" spans="1:13" ht="60" x14ac:dyDescent="0.25">
      <c r="A196" s="4" t="s">
        <v>1865</v>
      </c>
      <c r="B196" s="4" t="s">
        <v>69</v>
      </c>
      <c r="C196" s="4" t="s">
        <v>70</v>
      </c>
      <c r="D196" s="4" t="s">
        <v>15</v>
      </c>
      <c r="F196" s="5">
        <v>3</v>
      </c>
      <c r="G196" s="4" t="s">
        <v>1866</v>
      </c>
      <c r="H196" s="4" t="s">
        <v>884</v>
      </c>
      <c r="I196" s="4" t="s">
        <v>117</v>
      </c>
      <c r="J196" s="4" t="s">
        <v>117</v>
      </c>
      <c r="K196" s="4" t="s">
        <v>18</v>
      </c>
      <c r="M196" s="6" t="str">
        <f>HYPERLINK("http://maps.google.com/maps?f=q&amp;hl=en&amp;geocode=&amp;q=-29.4582,153.20319")</f>
        <v>http://maps.google.com/maps?f=q&amp;hl=en&amp;geocode=&amp;q=-29.4582,153.20319</v>
      </c>
    </row>
    <row r="197" spans="1:13" ht="60" x14ac:dyDescent="0.25">
      <c r="A197" s="4" t="s">
        <v>1862</v>
      </c>
      <c r="B197" s="4" t="s">
        <v>22</v>
      </c>
      <c r="C197" s="4" t="s">
        <v>14</v>
      </c>
      <c r="D197" s="4" t="s">
        <v>15</v>
      </c>
      <c r="F197" s="5">
        <v>14</v>
      </c>
      <c r="G197" s="4" t="s">
        <v>54</v>
      </c>
      <c r="H197" s="4" t="s">
        <v>521</v>
      </c>
      <c r="I197" s="4" t="s">
        <v>1863</v>
      </c>
      <c r="J197" s="4" t="s">
        <v>224</v>
      </c>
      <c r="K197" s="4" t="s">
        <v>19</v>
      </c>
      <c r="L197" s="4" t="s">
        <v>1864</v>
      </c>
      <c r="M197" s="6" t="str">
        <f>HYPERLINK("http://maps.google.com/maps?f=q&amp;hl=en&amp;geocode=&amp;q=-28.18876,153.53944")</f>
        <v>http://maps.google.com/maps?f=q&amp;hl=en&amp;geocode=&amp;q=-28.18876,153.53944</v>
      </c>
    </row>
    <row r="198" spans="1:13" ht="60" x14ac:dyDescent="0.25">
      <c r="A198" s="4" t="s">
        <v>1859</v>
      </c>
      <c r="B198" s="4" t="s">
        <v>34</v>
      </c>
      <c r="C198" s="4" t="s">
        <v>14</v>
      </c>
      <c r="D198" s="4" t="s">
        <v>15</v>
      </c>
      <c r="F198" s="5">
        <v>85</v>
      </c>
      <c r="G198" s="4" t="s">
        <v>1860</v>
      </c>
      <c r="H198" s="4" t="s">
        <v>36</v>
      </c>
      <c r="I198" s="4" t="s">
        <v>1861</v>
      </c>
      <c r="J198" s="4" t="s">
        <v>74</v>
      </c>
      <c r="K198" s="4" t="s">
        <v>19</v>
      </c>
      <c r="L198" s="4" t="s">
        <v>1251</v>
      </c>
      <c r="M198" s="6" t="str">
        <f>HYPERLINK("http://maps.google.com/maps?f=q&amp;hl=en&amp;geocode=&amp;q=-28.81147,153.26167")</f>
        <v>http://maps.google.com/maps?f=q&amp;hl=en&amp;geocode=&amp;q=-28.81147,153.26167</v>
      </c>
    </row>
    <row r="199" spans="1:13" ht="60" x14ac:dyDescent="0.25">
      <c r="A199" s="4" t="s">
        <v>1856</v>
      </c>
      <c r="B199" s="4" t="s">
        <v>22</v>
      </c>
      <c r="C199" s="4" t="s">
        <v>14</v>
      </c>
      <c r="D199" s="4" t="s">
        <v>15</v>
      </c>
      <c r="F199" s="5">
        <v>37</v>
      </c>
      <c r="G199" s="4" t="s">
        <v>1857</v>
      </c>
      <c r="H199" s="4" t="s">
        <v>160</v>
      </c>
      <c r="I199" s="4" t="s">
        <v>1858</v>
      </c>
      <c r="J199" s="4" t="s">
        <v>18</v>
      </c>
      <c r="K199" s="4" t="s">
        <v>44</v>
      </c>
      <c r="M199" s="6" t="str">
        <f>HYPERLINK("http://maps.google.com/maps?f=q&amp;hl=en&amp;geocode=&amp;q=-28.19428,153.50544")</f>
        <v>http://maps.google.com/maps?f=q&amp;hl=en&amp;geocode=&amp;q=-28.19428,153.50544</v>
      </c>
    </row>
    <row r="200" spans="1:13" ht="60" x14ac:dyDescent="0.25">
      <c r="A200" s="4" t="s">
        <v>1853</v>
      </c>
      <c r="B200" s="4" t="s">
        <v>28</v>
      </c>
      <c r="C200" s="4" t="s">
        <v>70</v>
      </c>
      <c r="D200" s="4" t="s">
        <v>41</v>
      </c>
      <c r="F200" s="5">
        <v>25</v>
      </c>
      <c r="G200" s="4" t="s">
        <v>668</v>
      </c>
      <c r="H200" s="4" t="s">
        <v>30</v>
      </c>
      <c r="I200" s="4" t="s">
        <v>1854</v>
      </c>
      <c r="J200" s="4" t="s">
        <v>224</v>
      </c>
      <c r="K200" s="4" t="s">
        <v>19</v>
      </c>
      <c r="L200" s="4" t="s">
        <v>1855</v>
      </c>
      <c r="M200" s="6" t="str">
        <f>HYPERLINK("http://maps.google.com/maps?f=q&amp;hl=en&amp;geocode=&amp;q=-28.78785,153.58983")</f>
        <v>http://maps.google.com/maps?f=q&amp;hl=en&amp;geocode=&amp;q=-28.78785,153.58983</v>
      </c>
    </row>
    <row r="201" spans="1:13" ht="75" x14ac:dyDescent="0.25">
      <c r="A201" s="4" t="s">
        <v>1850</v>
      </c>
      <c r="B201" s="4" t="s">
        <v>28</v>
      </c>
      <c r="C201" s="4" t="s">
        <v>70</v>
      </c>
      <c r="D201" s="4" t="s">
        <v>1142</v>
      </c>
      <c r="E201" s="4" t="s">
        <v>1851</v>
      </c>
      <c r="F201" s="5" t="s">
        <v>1852</v>
      </c>
      <c r="G201" s="4" t="s">
        <v>378</v>
      </c>
      <c r="H201" s="4" t="s">
        <v>121</v>
      </c>
      <c r="I201" s="4" t="s">
        <v>337</v>
      </c>
      <c r="M201" s="6" t="str">
        <f>HYPERLINK("http://maps.google.com/maps?f=q&amp;hl=en&amp;geocode=&amp;q=-28.8379,153.4388899")</f>
        <v>http://maps.google.com/maps?f=q&amp;hl=en&amp;geocode=&amp;q=-28.8379,153.4388899</v>
      </c>
    </row>
    <row r="202" spans="1:13" ht="60" x14ac:dyDescent="0.25">
      <c r="A202" s="4" t="s">
        <v>1845</v>
      </c>
      <c r="B202" s="4" t="s">
        <v>34</v>
      </c>
      <c r="C202" s="4" t="s">
        <v>14</v>
      </c>
      <c r="D202" s="4" t="s">
        <v>15</v>
      </c>
      <c r="F202" s="5">
        <v>26</v>
      </c>
      <c r="G202" s="4" t="s">
        <v>1846</v>
      </c>
      <c r="H202" s="4" t="s">
        <v>1847</v>
      </c>
      <c r="I202" s="4" t="s">
        <v>1848</v>
      </c>
      <c r="J202" s="4" t="s">
        <v>18</v>
      </c>
      <c r="K202" s="4" t="s">
        <v>44</v>
      </c>
      <c r="L202" s="4" t="s">
        <v>1849</v>
      </c>
      <c r="M202" s="6" t="str">
        <f>HYPERLINK("http://maps.google.com/maps?f=q&amp;hl=en&amp;geocode=&amp;q=-28.80365,153.27648")</f>
        <v>http://maps.google.com/maps?f=q&amp;hl=en&amp;geocode=&amp;q=-28.80365,153.27648</v>
      </c>
    </row>
    <row r="203" spans="1:13" ht="60" x14ac:dyDescent="0.25">
      <c r="A203" s="4" t="s">
        <v>1843</v>
      </c>
      <c r="B203" s="4" t="s">
        <v>126</v>
      </c>
      <c r="C203" s="4" t="s">
        <v>14</v>
      </c>
      <c r="D203" s="4" t="s">
        <v>677</v>
      </c>
      <c r="F203" s="5">
        <v>22</v>
      </c>
      <c r="G203" s="4" t="s">
        <v>1844</v>
      </c>
      <c r="H203" s="4" t="s">
        <v>128</v>
      </c>
      <c r="J203" s="4" t="s">
        <v>31</v>
      </c>
      <c r="K203" s="4" t="s">
        <v>19</v>
      </c>
      <c r="M203" s="6" t="str">
        <f>HYPERLINK("http://maps.google.com/maps?f=q&amp;hl=en&amp;geocode=&amp;q=-28.6232,153.00464")</f>
        <v>http://maps.google.com/maps?f=q&amp;hl=en&amp;geocode=&amp;q=-28.6232,153.00464</v>
      </c>
    </row>
    <row r="204" spans="1:13" ht="60" x14ac:dyDescent="0.25">
      <c r="A204" s="4" t="s">
        <v>1841</v>
      </c>
      <c r="B204" s="4" t="s">
        <v>126</v>
      </c>
      <c r="C204" s="4" t="s">
        <v>14</v>
      </c>
      <c r="D204" s="4" t="s">
        <v>41</v>
      </c>
      <c r="F204" s="5">
        <v>322</v>
      </c>
      <c r="G204" s="4" t="s">
        <v>1440</v>
      </c>
      <c r="H204" s="4" t="s">
        <v>128</v>
      </c>
      <c r="J204" s="4" t="s">
        <v>25</v>
      </c>
      <c r="K204" s="4" t="s">
        <v>18</v>
      </c>
      <c r="L204" s="4" t="s">
        <v>1842</v>
      </c>
      <c r="M204" s="6" t="str">
        <f>HYPERLINK("http://maps.google.com/maps?f=q&amp;hl=en&amp;geocode=&amp;q=-28.63935,153.00099")</f>
        <v>http://maps.google.com/maps?f=q&amp;hl=en&amp;geocode=&amp;q=-28.63935,153.00099</v>
      </c>
    </row>
    <row r="205" spans="1:13" ht="60" x14ac:dyDescent="0.25">
      <c r="A205" s="4" t="s">
        <v>1836</v>
      </c>
      <c r="B205" s="4" t="s">
        <v>69</v>
      </c>
      <c r="C205" s="4" t="s">
        <v>14</v>
      </c>
      <c r="F205" s="5">
        <v>5</v>
      </c>
      <c r="G205" s="4" t="s">
        <v>1837</v>
      </c>
      <c r="H205" s="4" t="s">
        <v>1838</v>
      </c>
      <c r="I205" s="4" t="s">
        <v>1839</v>
      </c>
      <c r="J205" s="4" t="s">
        <v>18</v>
      </c>
      <c r="K205" s="4" t="s">
        <v>145</v>
      </c>
      <c r="L205" s="4" t="s">
        <v>1840</v>
      </c>
      <c r="M205" s="6" t="str">
        <f>HYPERLINK("http://maps.google.com/maps?f=q&amp;hl=en&amp;geocode=&amp;q=-29.67611,152.88204")</f>
        <v>http://maps.google.com/maps?f=q&amp;hl=en&amp;geocode=&amp;q=-29.67611,152.88204</v>
      </c>
    </row>
    <row r="206" spans="1:13" ht="60" x14ac:dyDescent="0.25">
      <c r="A206" s="4" t="s">
        <v>1833</v>
      </c>
      <c r="B206" s="4" t="s">
        <v>82</v>
      </c>
      <c r="C206" s="4" t="s">
        <v>14</v>
      </c>
      <c r="D206" s="4" t="s">
        <v>15</v>
      </c>
      <c r="F206" s="5">
        <v>23</v>
      </c>
      <c r="G206" s="4" t="s">
        <v>1834</v>
      </c>
      <c r="H206" s="4" t="s">
        <v>84</v>
      </c>
      <c r="I206" s="4" t="s">
        <v>18</v>
      </c>
      <c r="J206" s="4" t="s">
        <v>18</v>
      </c>
      <c r="K206" s="4" t="s">
        <v>49</v>
      </c>
      <c r="L206" s="4" t="s">
        <v>1835</v>
      </c>
      <c r="M206" s="6" t="str">
        <f>HYPERLINK("http://maps.google.com/maps?f=q&amp;hl=en&amp;geocode=&amp;q=-28.63325,153.58621")</f>
        <v>http://maps.google.com/maps?f=q&amp;hl=en&amp;geocode=&amp;q=-28.63325,153.58621</v>
      </c>
    </row>
    <row r="207" spans="1:13" ht="75" x14ac:dyDescent="0.25">
      <c r="A207" s="4" t="s">
        <v>1831</v>
      </c>
      <c r="B207" s="4" t="s">
        <v>28</v>
      </c>
      <c r="C207" s="4" t="s">
        <v>14</v>
      </c>
      <c r="D207" s="4" t="s">
        <v>15</v>
      </c>
      <c r="F207" s="5">
        <v>16</v>
      </c>
      <c r="G207" s="4" t="s">
        <v>323</v>
      </c>
      <c r="H207" s="4" t="s">
        <v>107</v>
      </c>
      <c r="J207" s="4" t="s">
        <v>19</v>
      </c>
      <c r="K207" s="4" t="s">
        <v>44</v>
      </c>
      <c r="L207" s="4" t="s">
        <v>1832</v>
      </c>
      <c r="M207" s="6" t="str">
        <f>HYPERLINK("http://maps.google.com/maps?f=q&amp;hl=en&amp;geocode=&amp;q=-28.86496,153.5694399")</f>
        <v>http://maps.google.com/maps?f=q&amp;hl=en&amp;geocode=&amp;q=-28.86496,153.5694399</v>
      </c>
    </row>
    <row r="208" spans="1:13" ht="60" x14ac:dyDescent="0.25">
      <c r="A208" s="4" t="s">
        <v>1829</v>
      </c>
      <c r="B208" s="4" t="s">
        <v>28</v>
      </c>
      <c r="C208" s="4" t="s">
        <v>70</v>
      </c>
      <c r="D208" s="4" t="s">
        <v>41</v>
      </c>
      <c r="F208" s="5">
        <v>12</v>
      </c>
      <c r="G208" s="4" t="s">
        <v>1830</v>
      </c>
      <c r="H208" s="4" t="s">
        <v>107</v>
      </c>
      <c r="J208" s="4" t="s">
        <v>74</v>
      </c>
      <c r="K208" s="4" t="s">
        <v>19</v>
      </c>
      <c r="M208" s="6" t="str">
        <f>HYPERLINK("http://maps.google.com/maps?f=q&amp;hl=en&amp;geocode=&amp;q=-28.86714,153.54883")</f>
        <v>http://maps.google.com/maps?f=q&amp;hl=en&amp;geocode=&amp;q=-28.86714,153.54883</v>
      </c>
    </row>
    <row r="209" spans="1:13" ht="60" x14ac:dyDescent="0.25">
      <c r="A209" s="4" t="s">
        <v>1825</v>
      </c>
      <c r="B209" s="4" t="s">
        <v>126</v>
      </c>
      <c r="C209" s="4" t="s">
        <v>14</v>
      </c>
      <c r="D209" s="4" t="s">
        <v>15</v>
      </c>
      <c r="F209" s="5">
        <v>3</v>
      </c>
      <c r="G209" s="4" t="s">
        <v>1826</v>
      </c>
      <c r="H209" s="4" t="s">
        <v>128</v>
      </c>
      <c r="I209" s="4" t="s">
        <v>1827</v>
      </c>
      <c r="J209" s="4" t="s">
        <v>19</v>
      </c>
      <c r="K209" s="4" t="s">
        <v>66</v>
      </c>
      <c r="L209" s="4" t="s">
        <v>1828</v>
      </c>
      <c r="M209" s="6" t="str">
        <f>HYPERLINK("http://maps.google.com/maps?f=q&amp;hl=en&amp;geocode=&amp;q=-28.61575,153.01004")</f>
        <v>http://maps.google.com/maps?f=q&amp;hl=en&amp;geocode=&amp;q=-28.61575,153.01004</v>
      </c>
    </row>
    <row r="210" spans="1:13" ht="60" x14ac:dyDescent="0.25">
      <c r="A210" s="4" t="s">
        <v>1821</v>
      </c>
      <c r="B210" s="4" t="s">
        <v>13</v>
      </c>
      <c r="C210" s="4" t="s">
        <v>14</v>
      </c>
      <c r="D210" s="4" t="s">
        <v>15</v>
      </c>
      <c r="F210" s="5">
        <v>35</v>
      </c>
      <c r="G210" s="4" t="s">
        <v>1822</v>
      </c>
      <c r="H210" s="4" t="s">
        <v>218</v>
      </c>
      <c r="I210" s="4" t="s">
        <v>1823</v>
      </c>
      <c r="J210" s="4" t="s">
        <v>31</v>
      </c>
      <c r="K210" s="4" t="s">
        <v>57</v>
      </c>
      <c r="L210" s="4" t="s">
        <v>1824</v>
      </c>
      <c r="M210" s="6" t="str">
        <f>HYPERLINK("http://maps.google.com/maps?f=q&amp;hl=en&amp;geocode=&amp;q=-28.85634,153.04604")</f>
        <v>http://maps.google.com/maps?f=q&amp;hl=en&amp;geocode=&amp;q=-28.85634,153.04604</v>
      </c>
    </row>
    <row r="211" spans="1:13" ht="60" x14ac:dyDescent="0.25">
      <c r="A211" s="4" t="s">
        <v>1817</v>
      </c>
      <c r="B211" s="4" t="s">
        <v>28</v>
      </c>
      <c r="C211" s="4" t="s">
        <v>14</v>
      </c>
      <c r="D211" s="4" t="s">
        <v>15</v>
      </c>
      <c r="F211" s="5">
        <v>21</v>
      </c>
      <c r="G211" s="4" t="s">
        <v>1818</v>
      </c>
      <c r="H211" s="4" t="s">
        <v>107</v>
      </c>
      <c r="I211" s="4" t="s">
        <v>1819</v>
      </c>
      <c r="J211" s="4" t="s">
        <v>66</v>
      </c>
      <c r="K211" s="4" t="s">
        <v>19</v>
      </c>
      <c r="L211" s="4" t="s">
        <v>1820</v>
      </c>
      <c r="M211" s="6" t="str">
        <f>HYPERLINK("http://maps.google.com/maps?f=q&amp;hl=en&amp;geocode=&amp;q=-28.86984,153.56648")</f>
        <v>http://maps.google.com/maps?f=q&amp;hl=en&amp;geocode=&amp;q=-28.86984,153.56648</v>
      </c>
    </row>
    <row r="212" spans="1:13" ht="60" x14ac:dyDescent="0.25">
      <c r="A212" s="4" t="s">
        <v>1813</v>
      </c>
      <c r="B212" s="4" t="s">
        <v>13</v>
      </c>
      <c r="C212" s="4" t="s">
        <v>14</v>
      </c>
      <c r="D212" s="4" t="s">
        <v>15</v>
      </c>
      <c r="F212" s="5">
        <v>33</v>
      </c>
      <c r="G212" s="4" t="s">
        <v>1814</v>
      </c>
      <c r="H212" s="4" t="s">
        <v>218</v>
      </c>
      <c r="I212" s="4" t="s">
        <v>1815</v>
      </c>
      <c r="J212" s="4" t="s">
        <v>31</v>
      </c>
      <c r="K212" s="4" t="s">
        <v>445</v>
      </c>
      <c r="L212" s="4" t="s">
        <v>1816</v>
      </c>
      <c r="M212" s="6" t="str">
        <f>HYPERLINK("http://maps.google.com/maps?f=q&amp;hl=en&amp;geocode=&amp;q=-28.86066,153.01478")</f>
        <v>http://maps.google.com/maps?f=q&amp;hl=en&amp;geocode=&amp;q=-28.86066,153.01478</v>
      </c>
    </row>
    <row r="213" spans="1:13" ht="60" x14ac:dyDescent="0.25">
      <c r="A213" s="4" t="s">
        <v>1809</v>
      </c>
      <c r="B213" s="4" t="s">
        <v>34</v>
      </c>
      <c r="C213" s="4" t="s">
        <v>14</v>
      </c>
      <c r="D213" s="4" t="s">
        <v>15</v>
      </c>
      <c r="F213" s="5">
        <v>30</v>
      </c>
      <c r="G213" s="4" t="s">
        <v>1810</v>
      </c>
      <c r="H213" s="4" t="s">
        <v>61</v>
      </c>
      <c r="I213" s="4" t="s">
        <v>1811</v>
      </c>
      <c r="J213" s="4" t="s">
        <v>31</v>
      </c>
      <c r="K213" s="4" t="s">
        <v>25</v>
      </c>
      <c r="L213" s="4" t="s">
        <v>1812</v>
      </c>
      <c r="M213" s="6" t="str">
        <f>HYPERLINK("http://maps.google.com/maps?f=q&amp;hl=en&amp;geocode=&amp;q=-28.80654,153.3454")</f>
        <v>http://maps.google.com/maps?f=q&amp;hl=en&amp;geocode=&amp;q=-28.80654,153.3454</v>
      </c>
    </row>
    <row r="214" spans="1:13" ht="60" x14ac:dyDescent="0.25">
      <c r="A214" s="4" t="s">
        <v>1805</v>
      </c>
      <c r="B214" s="4" t="s">
        <v>69</v>
      </c>
      <c r="C214" s="4" t="s">
        <v>70</v>
      </c>
      <c r="D214" s="4" t="s">
        <v>15</v>
      </c>
      <c r="F214" s="5">
        <v>78</v>
      </c>
      <c r="G214" s="4" t="s">
        <v>1806</v>
      </c>
      <c r="H214" s="4" t="s">
        <v>349</v>
      </c>
      <c r="I214" s="4" t="s">
        <v>1807</v>
      </c>
      <c r="J214" s="4" t="s">
        <v>38</v>
      </c>
      <c r="K214" s="4" t="s">
        <v>57</v>
      </c>
      <c r="L214" s="4" t="s">
        <v>1808</v>
      </c>
      <c r="M214" s="6" t="str">
        <f>HYPERLINK("http://maps.google.com/maps?f=q&amp;hl=en&amp;geocode=&amp;q=-29.68812,152.95046")</f>
        <v>http://maps.google.com/maps?f=q&amp;hl=en&amp;geocode=&amp;q=-29.68812,152.95046</v>
      </c>
    </row>
    <row r="215" spans="1:13" ht="75" x14ac:dyDescent="0.25">
      <c r="A215" s="4" t="s">
        <v>1802</v>
      </c>
      <c r="B215" s="4" t="s">
        <v>22</v>
      </c>
      <c r="C215" s="4" t="s">
        <v>70</v>
      </c>
      <c r="D215" s="4" t="s">
        <v>41</v>
      </c>
      <c r="F215" s="5">
        <v>27</v>
      </c>
      <c r="G215" s="4" t="s">
        <v>1803</v>
      </c>
      <c r="H215" s="4" t="s">
        <v>160</v>
      </c>
      <c r="J215" s="4" t="s">
        <v>19</v>
      </c>
      <c r="K215" s="4" t="s">
        <v>49</v>
      </c>
      <c r="L215" s="4" t="s">
        <v>1804</v>
      </c>
      <c r="M215" s="6" t="str">
        <f>HYPERLINK("http://maps.google.com/maps?f=q&amp;hl=en&amp;geocode=&amp;q=-28.19603,153.5091799")</f>
        <v>http://maps.google.com/maps?f=q&amp;hl=en&amp;geocode=&amp;q=-28.19603,153.5091799</v>
      </c>
    </row>
    <row r="216" spans="1:13" ht="60" x14ac:dyDescent="0.25">
      <c r="A216" s="4" t="s">
        <v>1798</v>
      </c>
      <c r="B216" s="4" t="s">
        <v>82</v>
      </c>
      <c r="C216" s="4" t="s">
        <v>14</v>
      </c>
      <c r="D216" s="4" t="s">
        <v>15</v>
      </c>
      <c r="F216" s="5">
        <v>22</v>
      </c>
      <c r="G216" s="4" t="s">
        <v>1799</v>
      </c>
      <c r="H216" s="4" t="s">
        <v>1050</v>
      </c>
      <c r="I216" s="4" t="s">
        <v>1800</v>
      </c>
      <c r="J216" s="4" t="s">
        <v>18</v>
      </c>
      <c r="K216" s="4" t="s">
        <v>49</v>
      </c>
      <c r="L216" s="4" t="s">
        <v>1801</v>
      </c>
      <c r="M216" s="6" t="str">
        <f>HYPERLINK("http://maps.google.com/maps?f=q&amp;hl=en&amp;geocode=&amp;q=-28.49504,153.54588")</f>
        <v>http://maps.google.com/maps?f=q&amp;hl=en&amp;geocode=&amp;q=-28.49504,153.54588</v>
      </c>
    </row>
    <row r="217" spans="1:13" ht="60" x14ac:dyDescent="0.25">
      <c r="A217" s="4" t="s">
        <v>1794</v>
      </c>
      <c r="B217" s="4" t="s">
        <v>34</v>
      </c>
      <c r="C217" s="4" t="s">
        <v>14</v>
      </c>
      <c r="D217" s="4" t="s">
        <v>41</v>
      </c>
      <c r="F217" s="5">
        <v>2</v>
      </c>
      <c r="G217" s="4" t="s">
        <v>1795</v>
      </c>
      <c r="H217" s="4" t="s">
        <v>61</v>
      </c>
      <c r="I217" s="4" t="s">
        <v>1796</v>
      </c>
      <c r="J217" s="4" t="s">
        <v>18</v>
      </c>
      <c r="K217" s="4" t="s">
        <v>19</v>
      </c>
      <c r="L217" s="4" t="s">
        <v>1797</v>
      </c>
      <c r="M217" s="6" t="str">
        <f>HYPERLINK("http://maps.google.com/maps?f=q&amp;hl=en&amp;geocode=&amp;q=-28.81377,153.32097")</f>
        <v>http://maps.google.com/maps?f=q&amp;hl=en&amp;geocode=&amp;q=-28.81377,153.32097</v>
      </c>
    </row>
    <row r="218" spans="1:13" ht="60" x14ac:dyDescent="0.25">
      <c r="A218" s="4" t="s">
        <v>1790</v>
      </c>
      <c r="B218" s="4" t="s">
        <v>22</v>
      </c>
      <c r="C218" s="4" t="s">
        <v>14</v>
      </c>
      <c r="D218" s="4" t="s">
        <v>15</v>
      </c>
      <c r="F218" s="5">
        <v>9</v>
      </c>
      <c r="G218" s="4" t="s">
        <v>1791</v>
      </c>
      <c r="H218" s="4" t="s">
        <v>110</v>
      </c>
      <c r="I218" s="4" t="s">
        <v>1792</v>
      </c>
      <c r="J218" s="4" t="s">
        <v>31</v>
      </c>
      <c r="K218" s="4" t="s">
        <v>18</v>
      </c>
      <c r="L218" s="4" t="s">
        <v>1793</v>
      </c>
      <c r="M218" s="6" t="str">
        <f>HYPERLINK("http://maps.google.com/maps?f=q&amp;hl=en&amp;geocode=&amp;q=-28.32138,153.39745")</f>
        <v>http://maps.google.com/maps?f=q&amp;hl=en&amp;geocode=&amp;q=-28.32138,153.39745</v>
      </c>
    </row>
    <row r="219" spans="1:13" ht="60" x14ac:dyDescent="0.25">
      <c r="A219" s="4" t="s">
        <v>1788</v>
      </c>
      <c r="B219" s="4" t="s">
        <v>22</v>
      </c>
      <c r="C219" s="4" t="s">
        <v>14</v>
      </c>
      <c r="D219" s="4" t="s">
        <v>15</v>
      </c>
      <c r="F219" s="5">
        <v>100</v>
      </c>
      <c r="G219" s="4" t="s">
        <v>1789</v>
      </c>
      <c r="H219" s="4" t="s">
        <v>165</v>
      </c>
      <c r="J219" s="4" t="s">
        <v>19</v>
      </c>
      <c r="K219" s="4" t="s">
        <v>25</v>
      </c>
      <c r="M219" s="6" t="str">
        <f>HYPERLINK("http://maps.google.com/maps?f=q&amp;hl=en&amp;geocode=&amp;q=-28.20834,153.54156")</f>
        <v>http://maps.google.com/maps?f=q&amp;hl=en&amp;geocode=&amp;q=-28.20834,153.54156</v>
      </c>
    </row>
    <row r="220" spans="1:13" ht="60" x14ac:dyDescent="0.25">
      <c r="A220" s="4" t="s">
        <v>1784</v>
      </c>
      <c r="B220" s="4" t="s">
        <v>22</v>
      </c>
      <c r="C220" s="4" t="s">
        <v>70</v>
      </c>
      <c r="D220" s="4" t="s">
        <v>15</v>
      </c>
      <c r="F220" s="5">
        <v>29</v>
      </c>
      <c r="G220" s="4" t="s">
        <v>1785</v>
      </c>
      <c r="H220" s="4" t="s">
        <v>160</v>
      </c>
      <c r="I220" s="4" t="s">
        <v>1786</v>
      </c>
      <c r="J220" s="4" t="s">
        <v>49</v>
      </c>
      <c r="K220" s="4" t="s">
        <v>31</v>
      </c>
      <c r="L220" s="4" t="s">
        <v>1787</v>
      </c>
      <c r="M220" s="6" t="str">
        <f>HYPERLINK("http://maps.google.com/maps?f=q&amp;hl=en&amp;geocode=&amp;q=-28.191,153.50215")</f>
        <v>http://maps.google.com/maps?f=q&amp;hl=en&amp;geocode=&amp;q=-28.191,153.50215</v>
      </c>
    </row>
    <row r="221" spans="1:13" ht="75" x14ac:dyDescent="0.25">
      <c r="A221" s="4" t="s">
        <v>1780</v>
      </c>
      <c r="B221" s="4" t="s">
        <v>13</v>
      </c>
      <c r="C221" s="4" t="s">
        <v>14</v>
      </c>
      <c r="D221" s="4" t="s">
        <v>15</v>
      </c>
      <c r="F221" s="5">
        <v>4</v>
      </c>
      <c r="G221" s="4" t="s">
        <v>1781</v>
      </c>
      <c r="H221" s="4" t="s">
        <v>218</v>
      </c>
      <c r="I221" s="4" t="s">
        <v>1782</v>
      </c>
      <c r="J221" s="4" t="s">
        <v>74</v>
      </c>
      <c r="K221" s="4" t="s">
        <v>95</v>
      </c>
      <c r="L221" s="4" t="s">
        <v>1783</v>
      </c>
      <c r="M221" s="6" t="str">
        <f>HYPERLINK("http://maps.google.com/maps?f=q&amp;hl=en&amp;geocode=&amp;q=-28.86176,153.0580699")</f>
        <v>http://maps.google.com/maps?f=q&amp;hl=en&amp;geocode=&amp;q=-28.86176,153.0580699</v>
      </c>
    </row>
    <row r="222" spans="1:13" ht="60" x14ac:dyDescent="0.25">
      <c r="A222" s="4" t="s">
        <v>1776</v>
      </c>
      <c r="B222" s="4" t="s">
        <v>13</v>
      </c>
      <c r="C222" s="4" t="s">
        <v>14</v>
      </c>
      <c r="D222" s="4" t="s">
        <v>15</v>
      </c>
      <c r="F222" s="5">
        <v>3</v>
      </c>
      <c r="G222" s="4" t="s">
        <v>1777</v>
      </c>
      <c r="H222" s="4" t="s">
        <v>1778</v>
      </c>
      <c r="J222" s="4" t="s">
        <v>25</v>
      </c>
      <c r="K222" s="4" t="s">
        <v>251</v>
      </c>
      <c r="L222" s="4" t="s">
        <v>1779</v>
      </c>
      <c r="M222" s="6" t="str">
        <f>HYPERLINK("http://maps.google.com/maps?f=q&amp;hl=en&amp;geocode=&amp;q=-29.01438,153.43507")</f>
        <v>http://maps.google.com/maps?f=q&amp;hl=en&amp;geocode=&amp;q=-29.01438,153.43507</v>
      </c>
    </row>
    <row r="223" spans="1:13" ht="60" x14ac:dyDescent="0.25">
      <c r="A223" s="4" t="s">
        <v>1773</v>
      </c>
      <c r="B223" s="4" t="s">
        <v>28</v>
      </c>
      <c r="C223" s="4" t="s">
        <v>14</v>
      </c>
      <c r="D223" s="4" t="s">
        <v>15</v>
      </c>
      <c r="F223" s="5">
        <v>1</v>
      </c>
      <c r="G223" s="4" t="s">
        <v>1774</v>
      </c>
      <c r="H223" s="4" t="s">
        <v>30</v>
      </c>
      <c r="J223" s="4" t="s">
        <v>18</v>
      </c>
      <c r="K223" s="4" t="s">
        <v>19</v>
      </c>
      <c r="L223" s="4" t="s">
        <v>1775</v>
      </c>
      <c r="M223" s="6" t="str">
        <f>HYPERLINK("http://maps.google.com/maps?f=q&amp;hl=en&amp;geocode=&amp;q=-28.80231,153.58448")</f>
        <v>http://maps.google.com/maps?f=q&amp;hl=en&amp;geocode=&amp;q=-28.80231,153.58448</v>
      </c>
    </row>
    <row r="224" spans="1:13" ht="60" x14ac:dyDescent="0.25">
      <c r="A224" s="4" t="s">
        <v>1770</v>
      </c>
      <c r="B224" s="4" t="s">
        <v>22</v>
      </c>
      <c r="C224" s="4" t="s">
        <v>14</v>
      </c>
      <c r="D224" s="4" t="s">
        <v>15</v>
      </c>
      <c r="F224" s="5">
        <v>3</v>
      </c>
      <c r="G224" s="4" t="s">
        <v>1771</v>
      </c>
      <c r="H224" s="4" t="s">
        <v>936</v>
      </c>
      <c r="I224" s="4" t="s">
        <v>572</v>
      </c>
      <c r="J224" s="4" t="s">
        <v>31</v>
      </c>
      <c r="K224" s="4" t="s">
        <v>57</v>
      </c>
      <c r="L224" s="4" t="s">
        <v>1772</v>
      </c>
      <c r="M224" s="6" t="str">
        <f>HYPERLINK("http://maps.google.com/maps?f=q&amp;hl=en&amp;geocode=&amp;q=-28.33131,153.56354")</f>
        <v>http://maps.google.com/maps?f=q&amp;hl=en&amp;geocode=&amp;q=-28.33131,153.56354</v>
      </c>
    </row>
    <row r="225" spans="1:13" ht="75" x14ac:dyDescent="0.25">
      <c r="A225" s="4" t="s">
        <v>1769</v>
      </c>
      <c r="B225" s="4" t="s">
        <v>28</v>
      </c>
      <c r="C225" s="4" t="s">
        <v>70</v>
      </c>
      <c r="D225" s="4" t="s">
        <v>15</v>
      </c>
      <c r="F225" s="5">
        <v>80</v>
      </c>
      <c r="G225" s="4" t="s">
        <v>1148</v>
      </c>
      <c r="H225" s="4" t="s">
        <v>107</v>
      </c>
      <c r="I225" s="4" t="s">
        <v>31</v>
      </c>
      <c r="J225" s="4" t="s">
        <v>31</v>
      </c>
      <c r="K225" s="4" t="s">
        <v>49</v>
      </c>
      <c r="M225" s="6" t="str">
        <f>HYPERLINK("http://maps.google.com/maps?f=q&amp;hl=en&amp;geocode=&amp;q=-28.86479,153.5364899")</f>
        <v>http://maps.google.com/maps?f=q&amp;hl=en&amp;geocode=&amp;q=-28.86479,153.5364899</v>
      </c>
    </row>
    <row r="226" spans="1:13" ht="60" x14ac:dyDescent="0.25">
      <c r="A226" s="4" t="s">
        <v>1767</v>
      </c>
      <c r="B226" s="4" t="s">
        <v>22</v>
      </c>
      <c r="C226" s="4" t="s">
        <v>14</v>
      </c>
      <c r="D226" s="4" t="s">
        <v>15</v>
      </c>
      <c r="F226" s="5">
        <v>614</v>
      </c>
      <c r="G226" s="4" t="s">
        <v>647</v>
      </c>
      <c r="H226" s="4" t="s">
        <v>909</v>
      </c>
      <c r="I226" s="4" t="s">
        <v>1768</v>
      </c>
      <c r="J226" s="4" t="s">
        <v>19</v>
      </c>
      <c r="K226" s="4" t="s">
        <v>18</v>
      </c>
      <c r="M226" s="6" t="str">
        <f>HYPERLINK("http://maps.google.com/maps?f=q&amp;hl=en&amp;geocode=&amp;q=-28.24042,153.50228")</f>
        <v>http://maps.google.com/maps?f=q&amp;hl=en&amp;geocode=&amp;q=-28.24042,153.50228</v>
      </c>
    </row>
    <row r="227" spans="1:13" ht="75" x14ac:dyDescent="0.25">
      <c r="A227" s="4" t="s">
        <v>1765</v>
      </c>
      <c r="B227" s="4" t="s">
        <v>34</v>
      </c>
      <c r="C227" s="4" t="s">
        <v>14</v>
      </c>
      <c r="D227" s="4" t="s">
        <v>15</v>
      </c>
      <c r="F227" s="5">
        <v>5</v>
      </c>
      <c r="G227" s="4" t="s">
        <v>1766</v>
      </c>
      <c r="H227" s="4" t="s">
        <v>61</v>
      </c>
      <c r="J227" s="4" t="s">
        <v>25</v>
      </c>
      <c r="K227" s="4" t="s">
        <v>44</v>
      </c>
      <c r="M227" s="6" t="str">
        <f>HYPERLINK("http://maps.google.com/maps?f=q&amp;hl=en&amp;geocode=&amp;q=-28.80923,153.3109399")</f>
        <v>http://maps.google.com/maps?f=q&amp;hl=en&amp;geocode=&amp;q=-28.80923,153.3109399</v>
      </c>
    </row>
    <row r="228" spans="1:13" ht="60" x14ac:dyDescent="0.25">
      <c r="A228" s="4" t="s">
        <v>1761</v>
      </c>
      <c r="B228" s="4" t="s">
        <v>22</v>
      </c>
      <c r="C228" s="4" t="s">
        <v>70</v>
      </c>
      <c r="D228" s="4" t="s">
        <v>15</v>
      </c>
      <c r="F228" s="5">
        <v>32</v>
      </c>
      <c r="G228" s="4" t="s">
        <v>1762</v>
      </c>
      <c r="H228" s="4" t="s">
        <v>110</v>
      </c>
      <c r="I228" s="4" t="s">
        <v>1763</v>
      </c>
      <c r="J228" s="4" t="s">
        <v>57</v>
      </c>
      <c r="K228" s="4" t="s">
        <v>44</v>
      </c>
      <c r="L228" s="4" t="s">
        <v>1764</v>
      </c>
      <c r="M228" s="6" t="str">
        <f>HYPERLINK("http://maps.google.com/maps?f=q&amp;hl=en&amp;geocode=&amp;q=-28.33362,153.36623")</f>
        <v>http://maps.google.com/maps?f=q&amp;hl=en&amp;geocode=&amp;q=-28.33362,153.36623</v>
      </c>
    </row>
    <row r="229" spans="1:13" ht="75" x14ac:dyDescent="0.25">
      <c r="A229" s="4" t="s">
        <v>1757</v>
      </c>
      <c r="B229" s="4" t="s">
        <v>13</v>
      </c>
      <c r="C229" s="4" t="s">
        <v>70</v>
      </c>
      <c r="D229" s="4" t="s">
        <v>15</v>
      </c>
      <c r="F229" s="5">
        <v>35</v>
      </c>
      <c r="G229" s="4" t="s">
        <v>606</v>
      </c>
      <c r="H229" s="4" t="s">
        <v>1758</v>
      </c>
      <c r="I229" s="4" t="s">
        <v>1759</v>
      </c>
      <c r="J229" s="4" t="s">
        <v>145</v>
      </c>
      <c r="K229" s="4" t="s">
        <v>19</v>
      </c>
      <c r="L229" s="4" t="s">
        <v>1760</v>
      </c>
      <c r="M229" s="6" t="str">
        <f>HYPERLINK("http://maps.google.com/maps?f=q&amp;hl=en&amp;geocode=&amp;q=54.2987289428711,9.7888298034668")</f>
        <v>http://maps.google.com/maps?f=q&amp;hl=en&amp;geocode=&amp;q=54.2987289428711,9.7888298034668</v>
      </c>
    </row>
    <row r="230" spans="1:13" ht="60" x14ac:dyDescent="0.25">
      <c r="A230" s="4" t="s">
        <v>1753</v>
      </c>
      <c r="B230" s="4" t="s">
        <v>28</v>
      </c>
      <c r="C230" s="4" t="s">
        <v>14</v>
      </c>
      <c r="D230" s="4" t="s">
        <v>677</v>
      </c>
      <c r="E230" s="4" t="s">
        <v>1754</v>
      </c>
      <c r="F230" s="5">
        <v>4</v>
      </c>
      <c r="G230" s="4" t="s">
        <v>1755</v>
      </c>
      <c r="H230" s="4" t="s">
        <v>93</v>
      </c>
      <c r="J230" s="4" t="s">
        <v>31</v>
      </c>
      <c r="K230" s="4" t="s">
        <v>25</v>
      </c>
      <c r="L230" s="4" t="s">
        <v>1756</v>
      </c>
      <c r="M230" s="6" t="str">
        <f>HYPERLINK("http://maps.google.com/maps?f=q&amp;hl=en&amp;geocode=&amp;q=-28.82723,153.42387")</f>
        <v>http://maps.google.com/maps?f=q&amp;hl=en&amp;geocode=&amp;q=-28.82723,153.42387</v>
      </c>
    </row>
    <row r="231" spans="1:13" ht="60" x14ac:dyDescent="0.25">
      <c r="A231" s="4" t="s">
        <v>1751</v>
      </c>
      <c r="B231" s="4" t="s">
        <v>82</v>
      </c>
      <c r="C231" s="4" t="s">
        <v>14</v>
      </c>
      <c r="D231" s="4" t="s">
        <v>15</v>
      </c>
      <c r="F231" s="5">
        <v>6</v>
      </c>
      <c r="G231" s="4" t="s">
        <v>1752</v>
      </c>
      <c r="H231" s="4" t="s">
        <v>194</v>
      </c>
      <c r="J231" s="4" t="s">
        <v>18</v>
      </c>
      <c r="K231" s="4" t="s">
        <v>44</v>
      </c>
      <c r="L231" s="4" t="s">
        <v>19</v>
      </c>
      <c r="M231" s="6" t="str">
        <f>HYPERLINK("http://maps.google.com/maps?f=q&amp;hl=en&amp;geocode=&amp;q=-28.54519,153.49064")</f>
        <v>http://maps.google.com/maps?f=q&amp;hl=en&amp;geocode=&amp;q=-28.54519,153.49064</v>
      </c>
    </row>
    <row r="232" spans="1:13" ht="60" x14ac:dyDescent="0.25">
      <c r="A232" s="4" t="s">
        <v>1749</v>
      </c>
      <c r="B232" s="4" t="s">
        <v>22</v>
      </c>
      <c r="C232" s="4" t="s">
        <v>14</v>
      </c>
      <c r="D232" s="4" t="s">
        <v>15</v>
      </c>
      <c r="F232" s="5">
        <v>14</v>
      </c>
      <c r="G232" s="4" t="s">
        <v>1750</v>
      </c>
      <c r="H232" s="4" t="s">
        <v>165</v>
      </c>
      <c r="J232" s="4" t="s">
        <v>19</v>
      </c>
      <c r="K232" s="4" t="s">
        <v>18</v>
      </c>
      <c r="M232" s="6" t="str">
        <f>HYPERLINK("http://maps.google.com/maps?f=q&amp;hl=en&amp;geocode=&amp;q=-28.22224,153.53263")</f>
        <v>http://maps.google.com/maps?f=q&amp;hl=en&amp;geocode=&amp;q=-28.22224,153.53263</v>
      </c>
    </row>
    <row r="233" spans="1:13" ht="60" x14ac:dyDescent="0.25">
      <c r="A233" s="4" t="s">
        <v>1746</v>
      </c>
      <c r="B233" s="4" t="s">
        <v>28</v>
      </c>
      <c r="C233" s="4" t="s">
        <v>14</v>
      </c>
      <c r="D233" s="4" t="s">
        <v>15</v>
      </c>
      <c r="F233" s="5">
        <v>6</v>
      </c>
      <c r="G233" s="4" t="s">
        <v>791</v>
      </c>
      <c r="H233" s="4" t="s">
        <v>121</v>
      </c>
      <c r="I233" s="4" t="s">
        <v>1747</v>
      </c>
      <c r="J233" s="4" t="s">
        <v>19</v>
      </c>
      <c r="K233" s="4" t="s">
        <v>25</v>
      </c>
      <c r="L233" s="4" t="s">
        <v>1748</v>
      </c>
      <c r="M233" s="6" t="str">
        <f>HYPERLINK("http://maps.google.com/maps?f=q&amp;hl=en&amp;geocode=&amp;q=-28.84396,153.44585")</f>
        <v>http://maps.google.com/maps?f=q&amp;hl=en&amp;geocode=&amp;q=-28.84396,153.44585</v>
      </c>
    </row>
    <row r="234" spans="1:13" ht="60" x14ac:dyDescent="0.25">
      <c r="A234" s="4" t="s">
        <v>1743</v>
      </c>
      <c r="B234" s="4" t="s">
        <v>82</v>
      </c>
      <c r="C234" s="4" t="s">
        <v>70</v>
      </c>
      <c r="D234" s="4" t="s">
        <v>335</v>
      </c>
      <c r="F234" s="5">
        <v>19</v>
      </c>
      <c r="G234" s="4" t="s">
        <v>1744</v>
      </c>
      <c r="H234" s="4" t="s">
        <v>631</v>
      </c>
      <c r="I234" s="4" t="s">
        <v>31</v>
      </c>
      <c r="J234" s="4" t="s">
        <v>18</v>
      </c>
      <c r="K234" s="4" t="s">
        <v>49</v>
      </c>
      <c r="L234" s="4" t="s">
        <v>1745</v>
      </c>
      <c r="M234" s="6" t="str">
        <f>HYPERLINK("http://maps.google.com/maps?f=q&amp;hl=en&amp;geocode=&amp;q=-28.69111,153.51419")</f>
        <v>http://maps.google.com/maps?f=q&amp;hl=en&amp;geocode=&amp;q=-28.69111,153.51419</v>
      </c>
    </row>
    <row r="235" spans="1:13" ht="75" x14ac:dyDescent="0.25">
      <c r="A235" s="4" t="s">
        <v>1739</v>
      </c>
      <c r="B235" s="4" t="s">
        <v>13</v>
      </c>
      <c r="C235" s="4" t="s">
        <v>14</v>
      </c>
      <c r="D235" s="4" t="s">
        <v>41</v>
      </c>
      <c r="F235" s="5">
        <v>72</v>
      </c>
      <c r="G235" s="4" t="s">
        <v>1740</v>
      </c>
      <c r="H235" s="4" t="s">
        <v>218</v>
      </c>
      <c r="I235" s="4" t="s">
        <v>1741</v>
      </c>
      <c r="J235" s="4" t="s">
        <v>19</v>
      </c>
      <c r="K235" s="4" t="s">
        <v>44</v>
      </c>
      <c r="L235" s="4" t="s">
        <v>1742</v>
      </c>
      <c r="M235" s="6" t="str">
        <f>HYPERLINK("http://maps.google.com/maps?f=q&amp;hl=en&amp;geocode=&amp;q=30.0206394195557,-90.8299789428711")</f>
        <v>http://maps.google.com/maps?f=q&amp;hl=en&amp;geocode=&amp;q=30.0206394195557,-90.8299789428711</v>
      </c>
    </row>
    <row r="236" spans="1:13" ht="75" x14ac:dyDescent="0.25">
      <c r="A236" s="4" t="s">
        <v>1735</v>
      </c>
      <c r="B236" s="4" t="s">
        <v>22</v>
      </c>
      <c r="C236" s="4" t="s">
        <v>70</v>
      </c>
      <c r="D236" s="4" t="s">
        <v>15</v>
      </c>
      <c r="F236" s="5">
        <v>5</v>
      </c>
      <c r="G236" s="4" t="s">
        <v>1736</v>
      </c>
      <c r="H236" s="4" t="s">
        <v>165</v>
      </c>
      <c r="I236" s="4" t="s">
        <v>1737</v>
      </c>
      <c r="J236" s="4" t="s">
        <v>44</v>
      </c>
      <c r="K236" s="4" t="s">
        <v>19</v>
      </c>
      <c r="L236" s="4" t="s">
        <v>1738</v>
      </c>
      <c r="M236" s="6" t="str">
        <f>HYPERLINK("http://maps.google.com/maps?f=q&amp;hl=en&amp;geocode=&amp;q=-28.22582,153.5354199")</f>
        <v>http://maps.google.com/maps?f=q&amp;hl=en&amp;geocode=&amp;q=-28.22582,153.5354199</v>
      </c>
    </row>
    <row r="237" spans="1:13" ht="60" x14ac:dyDescent="0.25">
      <c r="A237" s="4" t="s">
        <v>1732</v>
      </c>
      <c r="B237" s="4" t="s">
        <v>22</v>
      </c>
      <c r="C237" s="4" t="s">
        <v>14</v>
      </c>
      <c r="D237" s="4" t="s">
        <v>41</v>
      </c>
      <c r="F237" s="5">
        <v>46</v>
      </c>
      <c r="G237" s="4" t="s">
        <v>1733</v>
      </c>
      <c r="H237" s="4" t="s">
        <v>296</v>
      </c>
      <c r="J237" s="4" t="s">
        <v>57</v>
      </c>
      <c r="K237" s="4" t="s">
        <v>19</v>
      </c>
      <c r="L237" s="4" t="s">
        <v>1734</v>
      </c>
      <c r="M237" s="6" t="str">
        <f>HYPERLINK("http://maps.google.com/maps?f=q&amp;hl=en&amp;geocode=&amp;q=-28.25466,153.57387")</f>
        <v>http://maps.google.com/maps?f=q&amp;hl=en&amp;geocode=&amp;q=-28.25466,153.57387</v>
      </c>
    </row>
    <row r="238" spans="1:13" ht="60" x14ac:dyDescent="0.25">
      <c r="A238" s="4" t="s">
        <v>1729</v>
      </c>
      <c r="B238" s="4" t="s">
        <v>28</v>
      </c>
      <c r="C238" s="4" t="s">
        <v>14</v>
      </c>
      <c r="D238" s="4" t="s">
        <v>41</v>
      </c>
      <c r="F238" s="5">
        <v>27</v>
      </c>
      <c r="G238" s="4" t="s">
        <v>1730</v>
      </c>
      <c r="H238" s="4" t="s">
        <v>30</v>
      </c>
      <c r="J238" s="4" t="s">
        <v>18</v>
      </c>
      <c r="K238" s="4" t="s">
        <v>19</v>
      </c>
      <c r="L238" s="4" t="s">
        <v>1731</v>
      </c>
      <c r="M238" s="6" t="str">
        <f>HYPERLINK("http://maps.google.com/maps?f=q&amp;hl=en&amp;geocode=&amp;q=-28.80148,153.58196")</f>
        <v>http://maps.google.com/maps?f=q&amp;hl=en&amp;geocode=&amp;q=-28.80148,153.58196</v>
      </c>
    </row>
    <row r="239" spans="1:13" ht="60" x14ac:dyDescent="0.25">
      <c r="A239" s="4" t="s">
        <v>1725</v>
      </c>
      <c r="B239" s="4" t="s">
        <v>82</v>
      </c>
      <c r="C239" s="4" t="s">
        <v>70</v>
      </c>
      <c r="D239" s="4" t="s">
        <v>15</v>
      </c>
      <c r="F239" s="5">
        <v>37</v>
      </c>
      <c r="G239" s="4" t="s">
        <v>1726</v>
      </c>
      <c r="H239" s="4" t="s">
        <v>194</v>
      </c>
      <c r="I239" s="4" t="s">
        <v>1727</v>
      </c>
      <c r="J239" s="4" t="s">
        <v>18</v>
      </c>
      <c r="K239" s="4" t="s">
        <v>31</v>
      </c>
      <c r="L239" s="4" t="s">
        <v>1728</v>
      </c>
      <c r="M239" s="6" t="str">
        <f>HYPERLINK("http://maps.google.com/maps?f=q&amp;hl=en&amp;geocode=&amp;q=-28.55591,153.47257")</f>
        <v>http://maps.google.com/maps?f=q&amp;hl=en&amp;geocode=&amp;q=-28.55591,153.47257</v>
      </c>
    </row>
    <row r="240" spans="1:13" ht="60" x14ac:dyDescent="0.25">
      <c r="A240" s="4" t="s">
        <v>1721</v>
      </c>
      <c r="B240" s="4" t="s">
        <v>82</v>
      </c>
      <c r="C240" s="4" t="s">
        <v>14</v>
      </c>
      <c r="D240" s="4" t="s">
        <v>15</v>
      </c>
      <c r="F240" s="5">
        <v>2</v>
      </c>
      <c r="G240" s="4" t="s">
        <v>1722</v>
      </c>
      <c r="H240" s="4" t="s">
        <v>631</v>
      </c>
      <c r="I240" s="4" t="s">
        <v>1723</v>
      </c>
      <c r="J240" s="4" t="s">
        <v>38</v>
      </c>
      <c r="K240" s="4" t="s">
        <v>18</v>
      </c>
      <c r="L240" s="4" t="s">
        <v>1724</v>
      </c>
      <c r="M240" s="6" t="str">
        <f>HYPERLINK("http://maps.google.com/maps?f=q&amp;hl=en&amp;geocode=&amp;q=-28.69037,153.51579")</f>
        <v>http://maps.google.com/maps?f=q&amp;hl=en&amp;geocode=&amp;q=-28.69037,153.51579</v>
      </c>
    </row>
    <row r="241" spans="1:13" ht="60" x14ac:dyDescent="0.25">
      <c r="A241" s="4" t="s">
        <v>1718</v>
      </c>
      <c r="B241" s="4" t="s">
        <v>28</v>
      </c>
      <c r="C241" s="4" t="s">
        <v>70</v>
      </c>
      <c r="D241" s="4" t="s">
        <v>15</v>
      </c>
      <c r="F241" s="5">
        <v>10</v>
      </c>
      <c r="G241" s="4" t="s">
        <v>169</v>
      </c>
      <c r="H241" s="4" t="s">
        <v>30</v>
      </c>
      <c r="I241" s="4" t="s">
        <v>1719</v>
      </c>
      <c r="J241" s="4" t="s">
        <v>38</v>
      </c>
      <c r="K241" s="4" t="s">
        <v>19</v>
      </c>
      <c r="L241" s="4" t="s">
        <v>1720</v>
      </c>
      <c r="M241" s="6" t="str">
        <f>HYPERLINK("http://maps.google.com/maps?f=q&amp;hl=en&amp;geocode=&amp;q=-28.82174,153.59694")</f>
        <v>http://maps.google.com/maps?f=q&amp;hl=en&amp;geocode=&amp;q=-28.82174,153.59694</v>
      </c>
    </row>
    <row r="242" spans="1:13" ht="60" x14ac:dyDescent="0.25">
      <c r="A242" s="4" t="s">
        <v>1715</v>
      </c>
      <c r="B242" s="4" t="s">
        <v>22</v>
      </c>
      <c r="C242" s="4" t="s">
        <v>14</v>
      </c>
      <c r="D242" s="4" t="s">
        <v>41</v>
      </c>
      <c r="F242" s="5">
        <v>50</v>
      </c>
      <c r="G242" s="4" t="s">
        <v>1716</v>
      </c>
      <c r="H242" s="4" t="s">
        <v>110</v>
      </c>
      <c r="J242" s="4" t="s">
        <v>19</v>
      </c>
      <c r="K242" s="4" t="s">
        <v>49</v>
      </c>
      <c r="L242" s="4" t="s">
        <v>1717</v>
      </c>
      <c r="M242" s="6" t="str">
        <f>HYPERLINK("http://maps.google.com/maps?f=q&amp;hl=en&amp;geocode=&amp;q=-28.3322,153.3919")</f>
        <v>http://maps.google.com/maps?f=q&amp;hl=en&amp;geocode=&amp;q=-28.3322,153.3919</v>
      </c>
    </row>
    <row r="243" spans="1:13" ht="60" x14ac:dyDescent="0.25">
      <c r="A243" s="4" t="s">
        <v>1712</v>
      </c>
      <c r="B243" s="4" t="s">
        <v>82</v>
      </c>
      <c r="C243" s="4" t="s">
        <v>14</v>
      </c>
      <c r="D243" s="4" t="s">
        <v>15</v>
      </c>
      <c r="F243" s="5">
        <v>14</v>
      </c>
      <c r="G243" s="4" t="s">
        <v>1713</v>
      </c>
      <c r="H243" s="4" t="s">
        <v>84</v>
      </c>
      <c r="I243" s="4" t="s">
        <v>1338</v>
      </c>
      <c r="J243" s="4" t="s">
        <v>25</v>
      </c>
      <c r="K243" s="4" t="s">
        <v>18</v>
      </c>
      <c r="L243" s="4" t="s">
        <v>1714</v>
      </c>
      <c r="M243" s="6" t="str">
        <f>HYPERLINK("http://maps.google.com/maps?f=q&amp;hl=en&amp;geocode=&amp;q=-28.65977,153.61716")</f>
        <v>http://maps.google.com/maps?f=q&amp;hl=en&amp;geocode=&amp;q=-28.65977,153.61716</v>
      </c>
    </row>
    <row r="244" spans="1:13" ht="60" x14ac:dyDescent="0.25">
      <c r="A244" s="4" t="s">
        <v>1709</v>
      </c>
      <c r="B244" s="4" t="s">
        <v>22</v>
      </c>
      <c r="C244" s="4" t="s">
        <v>70</v>
      </c>
      <c r="D244" s="4" t="s">
        <v>15</v>
      </c>
      <c r="F244" s="5">
        <v>14</v>
      </c>
      <c r="G244" s="4" t="s">
        <v>1710</v>
      </c>
      <c r="H244" s="4" t="s">
        <v>165</v>
      </c>
      <c r="I244" s="4" t="s">
        <v>1711</v>
      </c>
      <c r="J244" s="4" t="s">
        <v>50</v>
      </c>
      <c r="M244" s="6" t="str">
        <f>HYPERLINK("http://maps.google.com/maps?f=q&amp;hl=en&amp;geocode=&amp;q=-28.21693,153.52896")</f>
        <v>http://maps.google.com/maps?f=q&amp;hl=en&amp;geocode=&amp;q=-28.21693,153.52896</v>
      </c>
    </row>
    <row r="245" spans="1:13" ht="60" x14ac:dyDescent="0.25">
      <c r="A245" s="4" t="s">
        <v>1708</v>
      </c>
      <c r="B245" s="4" t="s">
        <v>82</v>
      </c>
      <c r="C245" s="4" t="s">
        <v>70</v>
      </c>
      <c r="F245" s="5">
        <v>11</v>
      </c>
      <c r="G245" s="4" t="s">
        <v>1662</v>
      </c>
      <c r="H245" s="4" t="s">
        <v>832</v>
      </c>
      <c r="J245" s="4" t="s">
        <v>19</v>
      </c>
      <c r="K245" s="4" t="s">
        <v>18</v>
      </c>
      <c r="M245" s="6" t="str">
        <f>HYPERLINK("http://maps.google.com/maps?f=q&amp;hl=en&amp;geocode=&amp;q=-28.68406,153.60386")</f>
        <v>http://maps.google.com/maps?f=q&amp;hl=en&amp;geocode=&amp;q=-28.68406,153.60386</v>
      </c>
    </row>
    <row r="246" spans="1:13" ht="60" x14ac:dyDescent="0.25">
      <c r="A246" s="4" t="s">
        <v>1703</v>
      </c>
      <c r="B246" s="4" t="s">
        <v>22</v>
      </c>
      <c r="C246" s="4" t="s">
        <v>70</v>
      </c>
      <c r="D246" s="4" t="s">
        <v>15</v>
      </c>
      <c r="F246" s="5" t="s">
        <v>1704</v>
      </c>
      <c r="G246" s="4" t="s">
        <v>1705</v>
      </c>
      <c r="H246" s="4" t="s">
        <v>55</v>
      </c>
      <c r="I246" s="4" t="s">
        <v>1706</v>
      </c>
      <c r="J246" s="4" t="s">
        <v>19</v>
      </c>
      <c r="K246" s="4" t="s">
        <v>44</v>
      </c>
      <c r="L246" s="4" t="s">
        <v>1707</v>
      </c>
      <c r="M246" s="6" t="str">
        <f>HYPERLINK("http://maps.google.com/maps?f=q&amp;hl=en&amp;geocode=&amp;q=-28.17801,153.52626")</f>
        <v>http://maps.google.com/maps?f=q&amp;hl=en&amp;geocode=&amp;q=-28.17801,153.52626</v>
      </c>
    </row>
    <row r="247" spans="1:13" ht="60" x14ac:dyDescent="0.25">
      <c r="A247" s="4" t="s">
        <v>1701</v>
      </c>
      <c r="B247" s="4" t="s">
        <v>28</v>
      </c>
      <c r="C247" s="4" t="s">
        <v>14</v>
      </c>
      <c r="D247" s="4" t="s">
        <v>15</v>
      </c>
      <c r="F247" s="5">
        <v>58</v>
      </c>
      <c r="G247" s="4" t="s">
        <v>1427</v>
      </c>
      <c r="H247" s="4" t="s">
        <v>30</v>
      </c>
      <c r="J247" s="4" t="s">
        <v>19</v>
      </c>
      <c r="K247" s="4" t="s">
        <v>31</v>
      </c>
      <c r="L247" s="4" t="s">
        <v>1702</v>
      </c>
      <c r="M247" s="6" t="str">
        <f>HYPERLINK("http://maps.google.com/maps?f=q&amp;hl=en&amp;geocode=&amp;q=-28.80187,153.58537")</f>
        <v>http://maps.google.com/maps?f=q&amp;hl=en&amp;geocode=&amp;q=-28.80187,153.58537</v>
      </c>
    </row>
    <row r="248" spans="1:13" ht="60" x14ac:dyDescent="0.25">
      <c r="A248" s="4" t="s">
        <v>1696</v>
      </c>
      <c r="B248" s="4" t="s">
        <v>22</v>
      </c>
      <c r="C248" s="4" t="s">
        <v>14</v>
      </c>
      <c r="D248" s="4" t="s">
        <v>15</v>
      </c>
      <c r="F248" s="5" t="s">
        <v>1697</v>
      </c>
      <c r="G248" s="4" t="s">
        <v>1698</v>
      </c>
      <c r="H248" s="4" t="s">
        <v>1482</v>
      </c>
      <c r="I248" s="4" t="s">
        <v>1699</v>
      </c>
      <c r="J248" s="4" t="s">
        <v>31</v>
      </c>
      <c r="K248" s="4" t="s">
        <v>57</v>
      </c>
      <c r="L248" s="4" t="s">
        <v>1700</v>
      </c>
      <c r="M248" s="6" t="str">
        <f>HYPERLINK("http://maps.google.com/maps?f=q&amp;hl=en&amp;geocode=&amp;q=-28.42006,153.33811")</f>
        <v>http://maps.google.com/maps?f=q&amp;hl=en&amp;geocode=&amp;q=-28.42006,153.33811</v>
      </c>
    </row>
    <row r="249" spans="1:13" ht="60" x14ac:dyDescent="0.25">
      <c r="A249" s="4" t="s">
        <v>1694</v>
      </c>
      <c r="B249" s="4" t="s">
        <v>13</v>
      </c>
      <c r="C249" s="4" t="s">
        <v>14</v>
      </c>
      <c r="D249" s="4" t="s">
        <v>41</v>
      </c>
      <c r="F249" s="5">
        <v>44</v>
      </c>
      <c r="G249" s="4" t="s">
        <v>1695</v>
      </c>
      <c r="H249" s="4" t="s">
        <v>218</v>
      </c>
      <c r="M249" s="6" t="str">
        <f>HYPERLINK("http://maps.google.com/maps?f=q&amp;hl=en&amp;geocode=&amp;q=-28.86179,153.03858")</f>
        <v>http://maps.google.com/maps?f=q&amp;hl=en&amp;geocode=&amp;q=-28.86179,153.03858</v>
      </c>
    </row>
    <row r="250" spans="1:13" ht="60" x14ac:dyDescent="0.25">
      <c r="A250" s="4" t="s">
        <v>1690</v>
      </c>
      <c r="B250" s="4" t="s">
        <v>69</v>
      </c>
      <c r="C250" s="4" t="s">
        <v>14</v>
      </c>
      <c r="D250" s="4" t="s">
        <v>15</v>
      </c>
      <c r="F250" s="5" t="s">
        <v>1691</v>
      </c>
      <c r="G250" s="4" t="s">
        <v>880</v>
      </c>
      <c r="H250" s="4" t="s">
        <v>143</v>
      </c>
      <c r="I250" s="4" t="s">
        <v>1692</v>
      </c>
      <c r="J250" s="4" t="s">
        <v>57</v>
      </c>
      <c r="K250" s="4" t="s">
        <v>95</v>
      </c>
      <c r="L250" s="4" t="s">
        <v>1693</v>
      </c>
      <c r="M250" s="6" t="str">
        <f>HYPERLINK("http://maps.google.com/maps?f=q&amp;hl=en&amp;geocode=&amp;q=-29.49179,153.23979")</f>
        <v>http://maps.google.com/maps?f=q&amp;hl=en&amp;geocode=&amp;q=-29.49179,153.23979</v>
      </c>
    </row>
    <row r="251" spans="1:13" ht="60" x14ac:dyDescent="0.25">
      <c r="A251" s="4" t="s">
        <v>1686</v>
      </c>
      <c r="B251" s="4" t="s">
        <v>28</v>
      </c>
      <c r="C251" s="4" t="s">
        <v>14</v>
      </c>
      <c r="D251" s="4" t="s">
        <v>15</v>
      </c>
      <c r="F251" s="5">
        <v>16</v>
      </c>
      <c r="G251" s="4" t="s">
        <v>1687</v>
      </c>
      <c r="H251" s="4" t="s">
        <v>464</v>
      </c>
      <c r="I251" s="4" t="s">
        <v>1688</v>
      </c>
      <c r="J251" s="4" t="s">
        <v>25</v>
      </c>
      <c r="K251" s="4" t="s">
        <v>18</v>
      </c>
      <c r="L251" s="4" t="s">
        <v>1689</v>
      </c>
      <c r="M251" s="6" t="str">
        <f>HYPERLINK("http://maps.google.com/maps?f=q&amp;hl=en&amp;geocode=&amp;q=-28.84973,153.58185")</f>
        <v>http://maps.google.com/maps?f=q&amp;hl=en&amp;geocode=&amp;q=-28.84973,153.58185</v>
      </c>
    </row>
    <row r="252" spans="1:13" ht="75" x14ac:dyDescent="0.25">
      <c r="A252" s="4" t="s">
        <v>1683</v>
      </c>
      <c r="B252" s="4" t="s">
        <v>82</v>
      </c>
      <c r="C252" s="4" t="s">
        <v>14</v>
      </c>
      <c r="D252" s="4" t="s">
        <v>41</v>
      </c>
      <c r="F252" s="5">
        <v>26</v>
      </c>
      <c r="G252" s="4" t="s">
        <v>1684</v>
      </c>
      <c r="H252" s="4" t="s">
        <v>154</v>
      </c>
      <c r="I252" s="4" t="s">
        <v>1685</v>
      </c>
      <c r="J252" s="4" t="s">
        <v>31</v>
      </c>
      <c r="K252" s="4" t="s">
        <v>19</v>
      </c>
      <c r="M252" s="6" t="str">
        <f>HYPERLINK("http://maps.google.com/maps?f=q&amp;hl=en&amp;geocode=&amp;q=-28.51651,153.5323699")</f>
        <v>http://maps.google.com/maps?f=q&amp;hl=en&amp;geocode=&amp;q=-28.51651,153.5323699</v>
      </c>
    </row>
    <row r="253" spans="1:13" ht="60" x14ac:dyDescent="0.25">
      <c r="A253" s="4" t="s">
        <v>1679</v>
      </c>
      <c r="B253" s="4" t="s">
        <v>82</v>
      </c>
      <c r="C253" s="4" t="s">
        <v>14</v>
      </c>
      <c r="D253" s="4" t="s">
        <v>41</v>
      </c>
      <c r="F253" s="5">
        <v>4</v>
      </c>
      <c r="G253" s="4" t="s">
        <v>1680</v>
      </c>
      <c r="H253" s="4" t="s">
        <v>84</v>
      </c>
      <c r="I253" s="4" t="s">
        <v>1681</v>
      </c>
      <c r="J253" s="4" t="s">
        <v>19</v>
      </c>
      <c r="K253" s="4" t="s">
        <v>25</v>
      </c>
      <c r="L253" s="4" t="s">
        <v>1682</v>
      </c>
      <c r="M253" s="6" t="str">
        <f>HYPERLINK("http://maps.google.com/maps?f=q&amp;hl=en&amp;geocode=&amp;q=-28.66067,153.61047")</f>
        <v>http://maps.google.com/maps?f=q&amp;hl=en&amp;geocode=&amp;q=-28.66067,153.61047</v>
      </c>
    </row>
    <row r="254" spans="1:13" ht="60" x14ac:dyDescent="0.25">
      <c r="A254" s="4" t="s">
        <v>1677</v>
      </c>
      <c r="B254" s="4" t="s">
        <v>22</v>
      </c>
      <c r="C254" s="4" t="s">
        <v>14</v>
      </c>
      <c r="D254" s="4" t="s">
        <v>15</v>
      </c>
      <c r="F254" s="5">
        <v>2</v>
      </c>
      <c r="G254" s="4" t="s">
        <v>1678</v>
      </c>
      <c r="H254" s="4" t="s">
        <v>165</v>
      </c>
      <c r="J254" s="4" t="s">
        <v>19</v>
      </c>
      <c r="K254" s="4" t="s">
        <v>25</v>
      </c>
      <c r="M254" s="6" t="str">
        <f>HYPERLINK("http://maps.google.com/maps?f=q&amp;hl=en&amp;geocode=&amp;q=-28.21382,153.52804")</f>
        <v>http://maps.google.com/maps?f=q&amp;hl=en&amp;geocode=&amp;q=-28.21382,153.52804</v>
      </c>
    </row>
    <row r="255" spans="1:13" ht="75" x14ac:dyDescent="0.25">
      <c r="A255" s="4" t="s">
        <v>1673</v>
      </c>
      <c r="B255" s="4" t="s">
        <v>28</v>
      </c>
      <c r="C255" s="4" t="s">
        <v>14</v>
      </c>
      <c r="D255" s="4" t="s">
        <v>1142</v>
      </c>
      <c r="F255" s="5">
        <v>451</v>
      </c>
      <c r="G255" s="4" t="s">
        <v>1674</v>
      </c>
      <c r="H255" s="4" t="s">
        <v>1675</v>
      </c>
      <c r="I255" s="4" t="s">
        <v>1676</v>
      </c>
      <c r="J255" s="4" t="s">
        <v>25</v>
      </c>
      <c r="K255" s="4" t="s">
        <v>49</v>
      </c>
      <c r="M255" s="6" t="str">
        <f>HYPERLINK("http://maps.google.com/maps?f=q&amp;hl=en&amp;geocode=&amp;q=54.2987289428711,9.7888298034668")</f>
        <v>http://maps.google.com/maps?f=q&amp;hl=en&amp;geocode=&amp;q=54.2987289428711,9.7888298034668</v>
      </c>
    </row>
    <row r="256" spans="1:13" ht="60" x14ac:dyDescent="0.25">
      <c r="A256" s="4" t="s">
        <v>1670</v>
      </c>
      <c r="B256" s="4" t="s">
        <v>28</v>
      </c>
      <c r="C256" s="4" t="s">
        <v>14</v>
      </c>
      <c r="D256" s="4" t="s">
        <v>15</v>
      </c>
      <c r="F256" s="5">
        <v>13</v>
      </c>
      <c r="G256" s="4" t="s">
        <v>208</v>
      </c>
      <c r="H256" s="4" t="s">
        <v>30</v>
      </c>
      <c r="I256" s="4" t="s">
        <v>1671</v>
      </c>
      <c r="J256" s="4" t="s">
        <v>31</v>
      </c>
      <c r="K256" s="4" t="s">
        <v>18</v>
      </c>
      <c r="L256" s="4" t="s">
        <v>1672</v>
      </c>
      <c r="M256" s="6" t="str">
        <f>HYPERLINK("http://maps.google.com/maps?f=q&amp;hl=en&amp;geocode=&amp;q=-28.80259,153.58834")</f>
        <v>http://maps.google.com/maps?f=q&amp;hl=en&amp;geocode=&amp;q=-28.80259,153.58834</v>
      </c>
    </row>
    <row r="257" spans="1:13" ht="60" x14ac:dyDescent="0.25">
      <c r="A257" s="4" t="s">
        <v>1666</v>
      </c>
      <c r="B257" s="4" t="s">
        <v>22</v>
      </c>
      <c r="C257" s="4" t="s">
        <v>14</v>
      </c>
      <c r="D257" s="4" t="s">
        <v>335</v>
      </c>
      <c r="F257" s="5">
        <v>27</v>
      </c>
      <c r="G257" s="4" t="s">
        <v>1667</v>
      </c>
      <c r="H257" s="4" t="s">
        <v>110</v>
      </c>
      <c r="I257" s="4" t="s">
        <v>1668</v>
      </c>
      <c r="J257" s="4" t="s">
        <v>224</v>
      </c>
      <c r="K257" s="4" t="s">
        <v>18</v>
      </c>
      <c r="L257" s="4" t="s">
        <v>1669</v>
      </c>
      <c r="M257" s="6" t="str">
        <f>HYPERLINK("http://maps.google.com/maps?f=q&amp;hl=en&amp;geocode=&amp;q=-28.32858,153.38282")</f>
        <v>http://maps.google.com/maps?f=q&amp;hl=en&amp;geocode=&amp;q=-28.32858,153.38282</v>
      </c>
    </row>
    <row r="258" spans="1:13" ht="60" x14ac:dyDescent="0.25">
      <c r="A258" s="4" t="s">
        <v>1663</v>
      </c>
      <c r="B258" s="4" t="s">
        <v>13</v>
      </c>
      <c r="C258" s="4" t="s">
        <v>14</v>
      </c>
      <c r="D258" s="4" t="s">
        <v>15</v>
      </c>
      <c r="F258" s="5">
        <v>4</v>
      </c>
      <c r="G258" s="4" t="s">
        <v>1664</v>
      </c>
      <c r="H258" s="4" t="s">
        <v>218</v>
      </c>
      <c r="J258" s="4" t="s">
        <v>19</v>
      </c>
      <c r="K258" s="4" t="s">
        <v>18</v>
      </c>
      <c r="L258" s="4" t="s">
        <v>1665</v>
      </c>
      <c r="M258" s="6" t="str">
        <f>HYPERLINK("http://maps.google.com/maps?f=q&amp;hl=en&amp;geocode=&amp;q=-28.84139,153.04595")</f>
        <v>http://maps.google.com/maps?f=q&amp;hl=en&amp;geocode=&amp;q=-28.84139,153.04595</v>
      </c>
    </row>
    <row r="259" spans="1:13" ht="60" x14ac:dyDescent="0.25">
      <c r="A259" s="4" t="s">
        <v>1660</v>
      </c>
      <c r="B259" s="4" t="s">
        <v>82</v>
      </c>
      <c r="C259" s="4" t="s">
        <v>14</v>
      </c>
      <c r="D259" s="4" t="s">
        <v>15</v>
      </c>
      <c r="F259" s="5" t="s">
        <v>1661</v>
      </c>
      <c r="G259" s="4" t="s">
        <v>1662</v>
      </c>
      <c r="H259" s="4" t="s">
        <v>832</v>
      </c>
      <c r="J259" s="4" t="s">
        <v>31</v>
      </c>
      <c r="K259" s="4" t="s">
        <v>145</v>
      </c>
      <c r="M259" s="6" t="str">
        <f>HYPERLINK("http://maps.google.com/maps?f=q&amp;hl=en&amp;geocode=&amp;q=-28.68735,153.60491")</f>
        <v>http://maps.google.com/maps?f=q&amp;hl=en&amp;geocode=&amp;q=-28.68735,153.60491</v>
      </c>
    </row>
    <row r="260" spans="1:13" ht="60" x14ac:dyDescent="0.25">
      <c r="A260" s="4" t="s">
        <v>1657</v>
      </c>
      <c r="B260" s="4" t="s">
        <v>22</v>
      </c>
      <c r="C260" s="4" t="s">
        <v>14</v>
      </c>
      <c r="D260" s="4" t="s">
        <v>15</v>
      </c>
      <c r="F260" s="5">
        <v>2</v>
      </c>
      <c r="G260" s="4" t="s">
        <v>1658</v>
      </c>
      <c r="H260" s="4" t="s">
        <v>165</v>
      </c>
      <c r="I260" s="4" t="s">
        <v>1219</v>
      </c>
      <c r="J260" s="4" t="s">
        <v>95</v>
      </c>
      <c r="K260" s="4" t="s">
        <v>44</v>
      </c>
      <c r="L260" s="4" t="s">
        <v>1659</v>
      </c>
      <c r="M260" s="6" t="str">
        <f>HYPERLINK("http://maps.google.com/maps?f=q&amp;hl=en&amp;geocode=&amp;q=-28.23055,153.52875")</f>
        <v>http://maps.google.com/maps?f=q&amp;hl=en&amp;geocode=&amp;q=-28.23055,153.52875</v>
      </c>
    </row>
    <row r="261" spans="1:13" ht="60" x14ac:dyDescent="0.25">
      <c r="A261" s="4" t="s">
        <v>1653</v>
      </c>
      <c r="B261" s="4" t="s">
        <v>82</v>
      </c>
      <c r="C261" s="4" t="s">
        <v>14</v>
      </c>
      <c r="D261" s="4" t="s">
        <v>15</v>
      </c>
      <c r="F261" s="5">
        <v>641</v>
      </c>
      <c r="G261" s="4" t="s">
        <v>536</v>
      </c>
      <c r="H261" s="4" t="s">
        <v>1654</v>
      </c>
      <c r="I261" s="4" t="s">
        <v>1655</v>
      </c>
      <c r="J261" s="4" t="s">
        <v>31</v>
      </c>
      <c r="K261" s="4" t="s">
        <v>57</v>
      </c>
      <c r="L261" s="4" t="s">
        <v>1656</v>
      </c>
      <c r="M261" s="6" t="str">
        <f>HYPERLINK("http://maps.google.com/maps?f=q&amp;hl=en&amp;geocode=&amp;q=-28.55242,153.43476")</f>
        <v>http://maps.google.com/maps?f=q&amp;hl=en&amp;geocode=&amp;q=-28.55242,153.43476</v>
      </c>
    </row>
    <row r="262" spans="1:13" ht="60" x14ac:dyDescent="0.25">
      <c r="A262" s="4" t="s">
        <v>1649</v>
      </c>
      <c r="B262" s="4" t="s">
        <v>34</v>
      </c>
      <c r="C262" s="4" t="s">
        <v>70</v>
      </c>
      <c r="D262" s="4" t="s">
        <v>15</v>
      </c>
      <c r="F262" s="5">
        <v>6</v>
      </c>
      <c r="G262" s="4" t="s">
        <v>1650</v>
      </c>
      <c r="H262" s="4" t="s">
        <v>61</v>
      </c>
      <c r="I262" s="4" t="s">
        <v>1651</v>
      </c>
      <c r="J262" s="4" t="s">
        <v>19</v>
      </c>
      <c r="K262" s="4" t="s">
        <v>18</v>
      </c>
      <c r="L262" s="4" t="s">
        <v>1652</v>
      </c>
      <c r="M262" s="6" t="str">
        <f>HYPERLINK("http://maps.google.com/maps?f=q&amp;hl=en&amp;geocode=&amp;q=-28.82225,153.30956")</f>
        <v>http://maps.google.com/maps?f=q&amp;hl=en&amp;geocode=&amp;q=-28.82225,153.30956</v>
      </c>
    </row>
    <row r="263" spans="1:13" ht="60" x14ac:dyDescent="0.25">
      <c r="A263" s="4" t="s">
        <v>1645</v>
      </c>
      <c r="B263" s="4" t="s">
        <v>22</v>
      </c>
      <c r="C263" s="4" t="s">
        <v>70</v>
      </c>
      <c r="D263" s="4" t="s">
        <v>15</v>
      </c>
      <c r="F263" s="5">
        <v>8</v>
      </c>
      <c r="G263" s="4" t="s">
        <v>1646</v>
      </c>
      <c r="H263" s="4" t="s">
        <v>165</v>
      </c>
      <c r="I263" s="4" t="s">
        <v>1647</v>
      </c>
      <c r="J263" s="4" t="s">
        <v>19</v>
      </c>
      <c r="K263" s="4" t="s">
        <v>95</v>
      </c>
      <c r="L263" s="4" t="s">
        <v>1648</v>
      </c>
      <c r="M263" s="6" t="str">
        <f>HYPERLINK("http://maps.google.com/maps?f=q&amp;hl=en&amp;geocode=&amp;q=-28.21546,153.53364")</f>
        <v>http://maps.google.com/maps?f=q&amp;hl=en&amp;geocode=&amp;q=-28.21546,153.53364</v>
      </c>
    </row>
    <row r="264" spans="1:13" ht="60" x14ac:dyDescent="0.25">
      <c r="A264" s="4" t="s">
        <v>1641</v>
      </c>
      <c r="B264" s="4" t="s">
        <v>82</v>
      </c>
      <c r="C264" s="4" t="s">
        <v>14</v>
      </c>
      <c r="D264" s="4" t="s">
        <v>15</v>
      </c>
      <c r="F264" s="5" t="s">
        <v>1642</v>
      </c>
      <c r="G264" s="4" t="s">
        <v>1643</v>
      </c>
      <c r="H264" s="4" t="s">
        <v>191</v>
      </c>
      <c r="J264" s="4" t="s">
        <v>19</v>
      </c>
      <c r="K264" s="4" t="s">
        <v>18</v>
      </c>
      <c r="L264" s="4" t="s">
        <v>1644</v>
      </c>
      <c r="M264" s="6" t="str">
        <f>HYPERLINK("http://maps.google.com/maps?f=q&amp;hl=en&amp;geocode=&amp;q=-28.53882,153.54956")</f>
        <v>http://maps.google.com/maps?f=q&amp;hl=en&amp;geocode=&amp;q=-28.53882,153.54956</v>
      </c>
    </row>
    <row r="265" spans="1:13" ht="60" x14ac:dyDescent="0.25">
      <c r="A265" s="4" t="s">
        <v>1637</v>
      </c>
      <c r="B265" s="4" t="s">
        <v>22</v>
      </c>
      <c r="C265" s="4" t="s">
        <v>14</v>
      </c>
      <c r="D265" s="4" t="s">
        <v>15</v>
      </c>
      <c r="F265" s="5">
        <v>18</v>
      </c>
      <c r="G265" s="4" t="s">
        <v>1638</v>
      </c>
      <c r="H265" s="4" t="s">
        <v>296</v>
      </c>
      <c r="I265" s="4" t="s">
        <v>1639</v>
      </c>
      <c r="J265" s="4" t="s">
        <v>19</v>
      </c>
      <c r="K265" s="4" t="s">
        <v>49</v>
      </c>
      <c r="L265" s="4" t="s">
        <v>1640</v>
      </c>
      <c r="M265" s="6" t="str">
        <f>HYPERLINK("http://maps.google.com/maps?f=q&amp;hl=en&amp;geocode=&amp;q=-28.25984,153.5736")</f>
        <v>http://maps.google.com/maps?f=q&amp;hl=en&amp;geocode=&amp;q=-28.25984,153.5736</v>
      </c>
    </row>
    <row r="266" spans="1:13" ht="60" x14ac:dyDescent="0.25">
      <c r="A266" s="4" t="s">
        <v>1634</v>
      </c>
      <c r="B266" s="4" t="s">
        <v>22</v>
      </c>
      <c r="C266" s="4" t="s">
        <v>14</v>
      </c>
      <c r="D266" s="4" t="s">
        <v>15</v>
      </c>
      <c r="F266" s="5">
        <v>13</v>
      </c>
      <c r="G266" s="4" t="s">
        <v>265</v>
      </c>
      <c r="H266" s="4" t="s">
        <v>165</v>
      </c>
      <c r="I266" s="4" t="s">
        <v>1635</v>
      </c>
      <c r="J266" s="4" t="s">
        <v>19</v>
      </c>
      <c r="K266" s="4" t="s">
        <v>25</v>
      </c>
      <c r="L266" s="4" t="s">
        <v>1636</v>
      </c>
      <c r="M266" s="6" t="str">
        <f>HYPERLINK("http://maps.google.com/maps?f=q&amp;hl=en&amp;geocode=&amp;q=-28.21437,153.54495")</f>
        <v>http://maps.google.com/maps?f=q&amp;hl=en&amp;geocode=&amp;q=-28.21437,153.54495</v>
      </c>
    </row>
    <row r="267" spans="1:13" ht="60" x14ac:dyDescent="0.25">
      <c r="A267" s="4" t="s">
        <v>1630</v>
      </c>
      <c r="B267" s="4" t="s">
        <v>28</v>
      </c>
      <c r="C267" s="4" t="s">
        <v>14</v>
      </c>
      <c r="D267" s="4" t="s">
        <v>15</v>
      </c>
      <c r="F267" s="5">
        <v>17</v>
      </c>
      <c r="G267" s="4" t="s">
        <v>1631</v>
      </c>
      <c r="H267" s="4" t="s">
        <v>464</v>
      </c>
      <c r="I267" s="4" t="s">
        <v>1632</v>
      </c>
      <c r="J267" s="4" t="s">
        <v>25</v>
      </c>
      <c r="K267" s="4" t="s">
        <v>224</v>
      </c>
      <c r="L267" s="4" t="s">
        <v>1633</v>
      </c>
      <c r="M267" s="6" t="str">
        <f>HYPERLINK("http://maps.google.com/maps?f=q&amp;hl=en&amp;geocode=&amp;q=-28.8522,153.58864")</f>
        <v>http://maps.google.com/maps?f=q&amp;hl=en&amp;geocode=&amp;q=-28.8522,153.58864</v>
      </c>
    </row>
    <row r="268" spans="1:13" ht="75" x14ac:dyDescent="0.25">
      <c r="A268" s="4" t="s">
        <v>1626</v>
      </c>
      <c r="B268" s="4" t="s">
        <v>22</v>
      </c>
      <c r="C268" s="4" t="s">
        <v>14</v>
      </c>
      <c r="D268" s="4" t="s">
        <v>15</v>
      </c>
      <c r="F268" s="5">
        <v>223</v>
      </c>
      <c r="G268" s="4" t="s">
        <v>1627</v>
      </c>
      <c r="H268" s="4" t="s">
        <v>110</v>
      </c>
      <c r="I268" s="4" t="s">
        <v>1628</v>
      </c>
      <c r="J268" s="4" t="s">
        <v>19</v>
      </c>
      <c r="K268" s="4" t="s">
        <v>224</v>
      </c>
      <c r="L268" s="4" t="s">
        <v>1629</v>
      </c>
      <c r="M268" s="6" t="str">
        <f>HYPERLINK("http://maps.google.com/maps?f=q&amp;hl=en&amp;geocode=&amp;q=-28.3238,153.4156099")</f>
        <v>http://maps.google.com/maps?f=q&amp;hl=en&amp;geocode=&amp;q=-28.3238,153.4156099</v>
      </c>
    </row>
    <row r="269" spans="1:13" ht="60" x14ac:dyDescent="0.25">
      <c r="A269" s="4" t="s">
        <v>1622</v>
      </c>
      <c r="B269" s="4" t="s">
        <v>28</v>
      </c>
      <c r="C269" s="4" t="s">
        <v>14</v>
      </c>
      <c r="D269" s="4" t="s">
        <v>15</v>
      </c>
      <c r="F269" s="5">
        <v>105</v>
      </c>
      <c r="G269" s="4" t="s">
        <v>1623</v>
      </c>
      <c r="H269" s="4" t="s">
        <v>464</v>
      </c>
      <c r="I269" s="4" t="s">
        <v>1624</v>
      </c>
      <c r="J269" s="4" t="s">
        <v>19</v>
      </c>
      <c r="K269" s="4" t="s">
        <v>117</v>
      </c>
      <c r="L269" s="4" t="s">
        <v>1625</v>
      </c>
      <c r="M269" s="6" t="str">
        <f>HYPERLINK("http://maps.google.com/maps?f=q&amp;hl=en&amp;geocode=&amp;q=-28.84796,153.58889")</f>
        <v>http://maps.google.com/maps?f=q&amp;hl=en&amp;geocode=&amp;q=-28.84796,153.58889</v>
      </c>
    </row>
    <row r="270" spans="1:13" ht="60" x14ac:dyDescent="0.25">
      <c r="A270" s="4" t="s">
        <v>1619</v>
      </c>
      <c r="B270" s="4" t="s">
        <v>22</v>
      </c>
      <c r="C270" s="4" t="s">
        <v>14</v>
      </c>
      <c r="D270" s="4" t="s">
        <v>15</v>
      </c>
      <c r="F270" s="5">
        <v>15</v>
      </c>
      <c r="G270" s="4" t="s">
        <v>1620</v>
      </c>
      <c r="H270" s="4" t="s">
        <v>165</v>
      </c>
      <c r="I270" s="4" t="s">
        <v>1109</v>
      </c>
      <c r="J270" s="4" t="s">
        <v>66</v>
      </c>
      <c r="K270" s="4" t="s">
        <v>145</v>
      </c>
      <c r="L270" s="4" t="s">
        <v>1621</v>
      </c>
      <c r="M270" s="6" t="str">
        <f>HYPERLINK("http://maps.google.com/maps?f=q&amp;hl=en&amp;geocode=&amp;q=-28.22857,153.54027")</f>
        <v>http://maps.google.com/maps?f=q&amp;hl=en&amp;geocode=&amp;q=-28.22857,153.54027</v>
      </c>
    </row>
    <row r="271" spans="1:13" ht="60" x14ac:dyDescent="0.25">
      <c r="A271" s="4" t="s">
        <v>1616</v>
      </c>
      <c r="B271" s="4" t="s">
        <v>22</v>
      </c>
      <c r="C271" s="4" t="s">
        <v>70</v>
      </c>
      <c r="D271" s="4" t="s">
        <v>41</v>
      </c>
      <c r="F271" s="5" t="s">
        <v>1617</v>
      </c>
      <c r="G271" s="4" t="s">
        <v>227</v>
      </c>
      <c r="H271" s="4" t="s">
        <v>165</v>
      </c>
      <c r="I271" s="4" t="s">
        <v>1618</v>
      </c>
      <c r="J271" s="4" t="s">
        <v>18</v>
      </c>
      <c r="K271" s="4" t="s">
        <v>31</v>
      </c>
      <c r="L271" s="4" t="s">
        <v>1314</v>
      </c>
      <c r="M271" s="6" t="str">
        <f>HYPERLINK("http://maps.google.com/maps?f=q&amp;hl=en&amp;geocode=&amp;q=-28.21543,153.52968")</f>
        <v>http://maps.google.com/maps?f=q&amp;hl=en&amp;geocode=&amp;q=-28.21543,153.52968</v>
      </c>
    </row>
    <row r="272" spans="1:13" ht="60" x14ac:dyDescent="0.25">
      <c r="A272" s="4" t="s">
        <v>1612</v>
      </c>
      <c r="B272" s="4" t="s">
        <v>69</v>
      </c>
      <c r="C272" s="4" t="s">
        <v>70</v>
      </c>
      <c r="D272" s="4" t="s">
        <v>15</v>
      </c>
      <c r="F272" s="5">
        <v>16</v>
      </c>
      <c r="G272" s="4" t="s">
        <v>1613</v>
      </c>
      <c r="H272" s="4" t="s">
        <v>884</v>
      </c>
      <c r="I272" s="4" t="s">
        <v>1614</v>
      </c>
      <c r="J272" s="4" t="s">
        <v>18</v>
      </c>
      <c r="K272" s="4" t="s">
        <v>19</v>
      </c>
      <c r="L272" s="4" t="s">
        <v>1615</v>
      </c>
      <c r="M272" s="6" t="str">
        <f>HYPERLINK("http://maps.google.com/maps?f=q&amp;hl=en&amp;geocode=&amp;q=-29.45136,153.20779")</f>
        <v>http://maps.google.com/maps?f=q&amp;hl=en&amp;geocode=&amp;q=-29.45136,153.20779</v>
      </c>
    </row>
    <row r="273" spans="1:13" ht="60" x14ac:dyDescent="0.25">
      <c r="A273" s="4" t="s">
        <v>1607</v>
      </c>
      <c r="B273" s="4" t="s">
        <v>22</v>
      </c>
      <c r="C273" s="4" t="s">
        <v>14</v>
      </c>
      <c r="D273" s="4" t="s">
        <v>15</v>
      </c>
      <c r="F273" s="5">
        <v>6</v>
      </c>
      <c r="G273" s="4" t="s">
        <v>1608</v>
      </c>
      <c r="H273" s="4" t="s">
        <v>1609</v>
      </c>
      <c r="I273" s="4" t="s">
        <v>1610</v>
      </c>
      <c r="J273" s="4" t="s">
        <v>25</v>
      </c>
      <c r="K273" s="4" t="s">
        <v>19</v>
      </c>
      <c r="L273" s="4" t="s">
        <v>1611</v>
      </c>
      <c r="M273" s="6" t="str">
        <f>HYPERLINK("http://maps.google.com/maps?f=q&amp;hl=en&amp;geocode=&amp;q=-28.41867,153.35174")</f>
        <v>http://maps.google.com/maps?f=q&amp;hl=en&amp;geocode=&amp;q=-28.41867,153.35174</v>
      </c>
    </row>
    <row r="274" spans="1:13" ht="60" x14ac:dyDescent="0.25">
      <c r="A274" s="4" t="s">
        <v>1604</v>
      </c>
      <c r="B274" s="4" t="s">
        <v>22</v>
      </c>
      <c r="C274" s="4" t="s">
        <v>14</v>
      </c>
      <c r="D274" s="4" t="s">
        <v>15</v>
      </c>
      <c r="F274" s="5">
        <v>144</v>
      </c>
      <c r="G274" s="4" t="s">
        <v>841</v>
      </c>
      <c r="H274" s="4" t="s">
        <v>165</v>
      </c>
      <c r="I274" s="4" t="s">
        <v>1605</v>
      </c>
      <c r="J274" s="4" t="s">
        <v>25</v>
      </c>
      <c r="K274" s="4" t="s">
        <v>19</v>
      </c>
      <c r="L274" s="4" t="s">
        <v>1606</v>
      </c>
      <c r="M274" s="6" t="str">
        <f>HYPERLINK("http://maps.google.com/maps?f=q&amp;hl=en&amp;geocode=&amp;q=-28.21329,153.5185")</f>
        <v>http://maps.google.com/maps?f=q&amp;hl=en&amp;geocode=&amp;q=-28.21329,153.5185</v>
      </c>
    </row>
    <row r="275" spans="1:13" ht="60" x14ac:dyDescent="0.25">
      <c r="A275" s="4" t="s">
        <v>1600</v>
      </c>
      <c r="B275" s="4" t="s">
        <v>34</v>
      </c>
      <c r="C275" s="4" t="s">
        <v>14</v>
      </c>
      <c r="D275" s="4" t="s">
        <v>15</v>
      </c>
      <c r="F275" s="5">
        <v>17</v>
      </c>
      <c r="G275" s="4" t="s">
        <v>1601</v>
      </c>
      <c r="H275" s="4" t="s">
        <v>132</v>
      </c>
      <c r="I275" s="4" t="s">
        <v>1602</v>
      </c>
      <c r="J275" s="4" t="s">
        <v>25</v>
      </c>
      <c r="L275" s="4" t="s">
        <v>1603</v>
      </c>
      <c r="M275" s="6" t="str">
        <f>HYPERLINK("http://maps.google.com/maps?f=q&amp;hl=en&amp;geocode=&amp;q=-28.82719,153.29603")</f>
        <v>http://maps.google.com/maps?f=q&amp;hl=en&amp;geocode=&amp;q=-28.82719,153.29603</v>
      </c>
    </row>
    <row r="276" spans="1:13" ht="60" x14ac:dyDescent="0.25">
      <c r="A276" s="4" t="s">
        <v>1596</v>
      </c>
      <c r="B276" s="4" t="s">
        <v>22</v>
      </c>
      <c r="C276" s="4" t="s">
        <v>14</v>
      </c>
      <c r="D276" s="4" t="s">
        <v>15</v>
      </c>
      <c r="F276" s="5">
        <v>14</v>
      </c>
      <c r="G276" s="4" t="s">
        <v>1597</v>
      </c>
      <c r="H276" s="4" t="s">
        <v>296</v>
      </c>
      <c r="I276" s="4" t="s">
        <v>1598</v>
      </c>
      <c r="J276" s="4" t="s">
        <v>25</v>
      </c>
      <c r="K276" s="4" t="s">
        <v>57</v>
      </c>
      <c r="L276" s="4" t="s">
        <v>1599</v>
      </c>
      <c r="M276" s="6" t="str">
        <f>HYPERLINK("http://maps.google.com/maps?f=q&amp;hl=en&amp;geocode=&amp;q=-28.2608,153.57563")</f>
        <v>http://maps.google.com/maps?f=q&amp;hl=en&amp;geocode=&amp;q=-28.2608,153.57563</v>
      </c>
    </row>
    <row r="277" spans="1:13" ht="60" x14ac:dyDescent="0.25">
      <c r="A277" s="4" t="s">
        <v>1591</v>
      </c>
      <c r="B277" s="4" t="s">
        <v>34</v>
      </c>
      <c r="C277" s="4" t="s">
        <v>70</v>
      </c>
      <c r="D277" s="4" t="s">
        <v>15</v>
      </c>
      <c r="F277" s="5">
        <v>4</v>
      </c>
      <c r="G277" s="4" t="s">
        <v>1592</v>
      </c>
      <c r="H277" s="4" t="s">
        <v>1593</v>
      </c>
      <c r="I277" s="4" t="s">
        <v>1594</v>
      </c>
      <c r="J277" s="4" t="s">
        <v>19</v>
      </c>
      <c r="K277" s="4" t="s">
        <v>25</v>
      </c>
      <c r="L277" s="4" t="s">
        <v>1595</v>
      </c>
      <c r="M277" s="6" t="str">
        <f>HYPERLINK("http://maps.google.com/maps?f=q&amp;hl=en&amp;geocode=&amp;q=-28.82615,153.2105")</f>
        <v>http://maps.google.com/maps?f=q&amp;hl=en&amp;geocode=&amp;q=-28.82615,153.2105</v>
      </c>
    </row>
    <row r="278" spans="1:13" ht="60" x14ac:dyDescent="0.25">
      <c r="A278" s="4" t="s">
        <v>1587</v>
      </c>
      <c r="B278" s="4" t="s">
        <v>69</v>
      </c>
      <c r="C278" s="4" t="s">
        <v>14</v>
      </c>
      <c r="D278" s="4" t="s">
        <v>41</v>
      </c>
      <c r="F278" s="5">
        <v>5</v>
      </c>
      <c r="G278" s="4" t="s">
        <v>1588</v>
      </c>
      <c r="H278" s="4" t="s">
        <v>884</v>
      </c>
      <c r="I278" s="4" t="s">
        <v>1589</v>
      </c>
      <c r="J278" s="4" t="s">
        <v>18</v>
      </c>
      <c r="K278" s="4" t="s">
        <v>25</v>
      </c>
      <c r="L278" s="4" t="s">
        <v>1590</v>
      </c>
      <c r="M278" s="6" t="str">
        <f>HYPERLINK("http://maps.google.com/maps?f=q&amp;hl=en&amp;geocode=&amp;q=-29.44541,153.20695")</f>
        <v>http://maps.google.com/maps?f=q&amp;hl=en&amp;geocode=&amp;q=-29.44541,153.20695</v>
      </c>
    </row>
    <row r="279" spans="1:13" ht="60" x14ac:dyDescent="0.25">
      <c r="A279" s="4" t="s">
        <v>1583</v>
      </c>
      <c r="B279" s="4" t="s">
        <v>28</v>
      </c>
      <c r="C279" s="4" t="s">
        <v>14</v>
      </c>
      <c r="D279" s="4" t="s">
        <v>15</v>
      </c>
      <c r="F279" s="5">
        <v>34</v>
      </c>
      <c r="G279" s="4" t="s">
        <v>1584</v>
      </c>
      <c r="H279" s="4" t="s">
        <v>93</v>
      </c>
      <c r="I279" s="4" t="s">
        <v>1585</v>
      </c>
      <c r="J279" s="4" t="s">
        <v>49</v>
      </c>
      <c r="K279" s="4" t="s">
        <v>19</v>
      </c>
      <c r="L279" s="4" t="s">
        <v>1586</v>
      </c>
      <c r="M279" s="6" t="str">
        <f>HYPERLINK("http://maps.google.com/maps?f=q&amp;hl=en&amp;geocode=&amp;q=-28.82622,153.42296")</f>
        <v>http://maps.google.com/maps?f=q&amp;hl=en&amp;geocode=&amp;q=-28.82622,153.42296</v>
      </c>
    </row>
    <row r="280" spans="1:13" ht="60" x14ac:dyDescent="0.25">
      <c r="A280" s="4" t="s">
        <v>1582</v>
      </c>
      <c r="B280" s="4" t="s">
        <v>22</v>
      </c>
      <c r="C280" s="4" t="s">
        <v>70</v>
      </c>
      <c r="D280" s="4" t="s">
        <v>15</v>
      </c>
      <c r="F280" s="5">
        <v>12</v>
      </c>
      <c r="G280" s="4" t="s">
        <v>1130</v>
      </c>
      <c r="H280" s="4" t="s">
        <v>311</v>
      </c>
      <c r="J280" s="4" t="s">
        <v>19</v>
      </c>
      <c r="K280" s="4" t="s">
        <v>44</v>
      </c>
      <c r="M280" s="6" t="str">
        <f>HYPERLINK("http://maps.google.com/maps?f=q&amp;hl=en&amp;geocode=&amp;q=-28.24095,153.55317")</f>
        <v>http://maps.google.com/maps?f=q&amp;hl=en&amp;geocode=&amp;q=-28.24095,153.55317</v>
      </c>
    </row>
    <row r="281" spans="1:13" ht="60" x14ac:dyDescent="0.25">
      <c r="A281" s="4" t="s">
        <v>1579</v>
      </c>
      <c r="B281" s="4" t="s">
        <v>69</v>
      </c>
      <c r="C281" s="4" t="s">
        <v>14</v>
      </c>
      <c r="D281" s="4" t="s">
        <v>15</v>
      </c>
      <c r="F281" s="5">
        <v>9</v>
      </c>
      <c r="G281" s="4" t="s">
        <v>1580</v>
      </c>
      <c r="H281" s="4" t="s">
        <v>349</v>
      </c>
      <c r="I281" s="4" t="s">
        <v>337</v>
      </c>
      <c r="J281" s="4" t="s">
        <v>445</v>
      </c>
      <c r="K281" s="4" t="s">
        <v>19</v>
      </c>
      <c r="L281" s="4" t="s">
        <v>1581</v>
      </c>
      <c r="M281" s="6" t="str">
        <f>HYPERLINK("http://maps.google.com/maps?f=q&amp;hl=en&amp;geocode=&amp;q=-29.68172,152.92453")</f>
        <v>http://maps.google.com/maps?f=q&amp;hl=en&amp;geocode=&amp;q=-29.68172,152.92453</v>
      </c>
    </row>
    <row r="282" spans="1:13" ht="60" x14ac:dyDescent="0.25">
      <c r="A282" s="4" t="s">
        <v>1575</v>
      </c>
      <c r="B282" s="4" t="s">
        <v>69</v>
      </c>
      <c r="C282" s="4" t="s">
        <v>70</v>
      </c>
      <c r="D282" s="4" t="s">
        <v>15</v>
      </c>
      <c r="F282" s="5">
        <v>65</v>
      </c>
      <c r="G282" s="4" t="s">
        <v>883</v>
      </c>
      <c r="H282" s="4" t="s">
        <v>1576</v>
      </c>
      <c r="I282" s="4" t="s">
        <v>1577</v>
      </c>
      <c r="J282" s="4" t="s">
        <v>38</v>
      </c>
      <c r="K282" s="4" t="s">
        <v>18</v>
      </c>
      <c r="L282" s="4" t="s">
        <v>1578</v>
      </c>
      <c r="M282" s="6" t="str">
        <f>HYPERLINK("http://maps.google.com/maps?f=q&amp;hl=en&amp;geocode=&amp;q=-29.47864,153.18153")</f>
        <v>http://maps.google.com/maps?f=q&amp;hl=en&amp;geocode=&amp;q=-29.47864,153.18153</v>
      </c>
    </row>
    <row r="283" spans="1:13" ht="60" x14ac:dyDescent="0.25">
      <c r="A283" s="4" t="s">
        <v>1571</v>
      </c>
      <c r="B283" s="4" t="s">
        <v>82</v>
      </c>
      <c r="C283" s="4" t="s">
        <v>70</v>
      </c>
      <c r="D283" s="4" t="s">
        <v>15</v>
      </c>
      <c r="F283" s="5">
        <v>1</v>
      </c>
      <c r="G283" s="4" t="s">
        <v>1572</v>
      </c>
      <c r="H283" s="4" t="s">
        <v>832</v>
      </c>
      <c r="I283" s="4" t="s">
        <v>1573</v>
      </c>
      <c r="J283" s="4" t="s">
        <v>19</v>
      </c>
      <c r="K283" s="4" t="s">
        <v>25</v>
      </c>
      <c r="L283" s="4" t="s">
        <v>1574</v>
      </c>
      <c r="M283" s="6" t="str">
        <f>HYPERLINK("http://maps.google.com/maps?f=q&amp;hl=en&amp;geocode=&amp;q=-28.68885,153.60193")</f>
        <v>http://maps.google.com/maps?f=q&amp;hl=en&amp;geocode=&amp;q=-28.68885,153.60193</v>
      </c>
    </row>
    <row r="284" spans="1:13" ht="60" x14ac:dyDescent="0.25">
      <c r="A284" s="4" t="s">
        <v>1567</v>
      </c>
      <c r="B284" s="4" t="s">
        <v>13</v>
      </c>
      <c r="C284" s="4" t="s">
        <v>14</v>
      </c>
      <c r="D284" s="4" t="s">
        <v>15</v>
      </c>
      <c r="F284" s="5" t="s">
        <v>1568</v>
      </c>
      <c r="G284" s="4" t="s">
        <v>1569</v>
      </c>
      <c r="H284" s="4" t="s">
        <v>17</v>
      </c>
      <c r="I284" s="4" t="s">
        <v>1570</v>
      </c>
      <c r="J284" s="4" t="s">
        <v>31</v>
      </c>
      <c r="K284" s="4" t="s">
        <v>31</v>
      </c>
      <c r="M284" s="6" t="str">
        <f>HYPERLINK("http://maps.google.com/maps?f=q&amp;hl=en&amp;geocode=&amp;q=-29.10658,153.42527")</f>
        <v>http://maps.google.com/maps?f=q&amp;hl=en&amp;geocode=&amp;q=-29.10658,153.42527</v>
      </c>
    </row>
    <row r="285" spans="1:13" ht="60" x14ac:dyDescent="0.25">
      <c r="A285" s="4" t="s">
        <v>1564</v>
      </c>
      <c r="B285" s="4" t="s">
        <v>28</v>
      </c>
      <c r="C285" s="4" t="s">
        <v>70</v>
      </c>
      <c r="D285" s="4" t="s">
        <v>15</v>
      </c>
      <c r="F285" s="5">
        <v>100</v>
      </c>
      <c r="G285" s="4" t="s">
        <v>1175</v>
      </c>
      <c r="H285" s="4" t="s">
        <v>107</v>
      </c>
      <c r="I285" s="4" t="s">
        <v>1565</v>
      </c>
      <c r="J285" s="4" t="s">
        <v>18</v>
      </c>
      <c r="K285" s="4" t="s">
        <v>49</v>
      </c>
      <c r="L285" s="4" t="s">
        <v>1566</v>
      </c>
      <c r="M285" s="6" t="str">
        <f>HYPERLINK("http://maps.google.com/maps?f=q&amp;hl=en&amp;geocode=&amp;q=-28.86472,153.559")</f>
        <v>http://maps.google.com/maps?f=q&amp;hl=en&amp;geocode=&amp;q=-28.86472,153.559</v>
      </c>
    </row>
    <row r="286" spans="1:13" ht="60" x14ac:dyDescent="0.25">
      <c r="A286" s="4" t="s">
        <v>1562</v>
      </c>
      <c r="B286" s="4" t="s">
        <v>22</v>
      </c>
      <c r="C286" s="4" t="s">
        <v>70</v>
      </c>
      <c r="D286" s="4" t="s">
        <v>15</v>
      </c>
      <c r="F286" s="5">
        <v>7</v>
      </c>
      <c r="G286" s="4" t="s">
        <v>1563</v>
      </c>
      <c r="H286" s="4" t="s">
        <v>936</v>
      </c>
      <c r="J286" s="4" t="s">
        <v>25</v>
      </c>
      <c r="K286" s="4" t="s">
        <v>145</v>
      </c>
      <c r="M286" s="6" t="str">
        <f>HYPERLINK("http://maps.google.com/maps?f=q&amp;hl=en&amp;geocode=&amp;q=-28.33222,153.56621")</f>
        <v>http://maps.google.com/maps?f=q&amp;hl=en&amp;geocode=&amp;q=-28.33222,153.56621</v>
      </c>
    </row>
    <row r="287" spans="1:13" ht="60" x14ac:dyDescent="0.25">
      <c r="A287" s="4" t="s">
        <v>1560</v>
      </c>
      <c r="B287" s="4" t="s">
        <v>13</v>
      </c>
      <c r="C287" s="4" t="s">
        <v>70</v>
      </c>
      <c r="D287" s="4" t="s">
        <v>15</v>
      </c>
      <c r="F287" s="5">
        <v>52</v>
      </c>
      <c r="G287" s="4" t="s">
        <v>240</v>
      </c>
      <c r="H287" s="4" t="s">
        <v>218</v>
      </c>
      <c r="I287" s="4" t="s">
        <v>657</v>
      </c>
      <c r="J287" s="4" t="s">
        <v>66</v>
      </c>
      <c r="K287" s="4" t="s">
        <v>49</v>
      </c>
      <c r="L287" s="4" t="s">
        <v>1561</v>
      </c>
      <c r="M287" s="6" t="str">
        <f>HYPERLINK("http://maps.google.com/maps?f=q&amp;hl=en&amp;geocode=&amp;q=-28.85866,153.03689")</f>
        <v>http://maps.google.com/maps?f=q&amp;hl=en&amp;geocode=&amp;q=-28.85866,153.03689</v>
      </c>
    </row>
    <row r="288" spans="1:13" ht="60" x14ac:dyDescent="0.25">
      <c r="A288" s="4" t="s">
        <v>1558</v>
      </c>
      <c r="B288" s="4" t="s">
        <v>28</v>
      </c>
      <c r="C288" s="4" t="s">
        <v>14</v>
      </c>
      <c r="D288" s="4" t="s">
        <v>15</v>
      </c>
      <c r="F288" s="5">
        <v>15</v>
      </c>
      <c r="G288" s="4" t="s">
        <v>1559</v>
      </c>
      <c r="H288" s="4" t="s">
        <v>121</v>
      </c>
      <c r="J288" s="4" t="s">
        <v>25</v>
      </c>
      <c r="K288" s="4" t="s">
        <v>145</v>
      </c>
      <c r="M288" s="6" t="str">
        <f>HYPERLINK("http://maps.google.com/maps?f=q&amp;hl=en&amp;geocode=&amp;q=-28.83549,153.44269")</f>
        <v>http://maps.google.com/maps?f=q&amp;hl=en&amp;geocode=&amp;q=-28.83549,153.44269</v>
      </c>
    </row>
    <row r="289" spans="1:13" ht="60" x14ac:dyDescent="0.25">
      <c r="A289" s="4" t="s">
        <v>1555</v>
      </c>
      <c r="B289" s="4" t="s">
        <v>22</v>
      </c>
      <c r="C289" s="4" t="s">
        <v>70</v>
      </c>
      <c r="D289" s="4" t="s">
        <v>15</v>
      </c>
      <c r="F289" s="5">
        <v>149</v>
      </c>
      <c r="G289" s="4" t="s">
        <v>414</v>
      </c>
      <c r="H289" s="4" t="s">
        <v>165</v>
      </c>
      <c r="I289" s="4" t="s">
        <v>1556</v>
      </c>
      <c r="J289" s="4" t="s">
        <v>57</v>
      </c>
      <c r="K289" s="4" t="s">
        <v>445</v>
      </c>
      <c r="L289" s="4" t="s">
        <v>1557</v>
      </c>
      <c r="M289" s="6" t="str">
        <f>HYPERLINK("http://maps.google.com/maps?f=q&amp;hl=en&amp;geocode=&amp;q=-28.22184,153.54028")</f>
        <v>http://maps.google.com/maps?f=q&amp;hl=en&amp;geocode=&amp;q=-28.22184,153.54028</v>
      </c>
    </row>
    <row r="290" spans="1:13" ht="60" x14ac:dyDescent="0.25">
      <c r="A290" s="4" t="s">
        <v>1552</v>
      </c>
      <c r="B290" s="4" t="s">
        <v>69</v>
      </c>
      <c r="C290" s="4" t="s">
        <v>14</v>
      </c>
      <c r="D290" s="4" t="s">
        <v>15</v>
      </c>
      <c r="F290" s="5">
        <v>16</v>
      </c>
      <c r="G290" s="4" t="s">
        <v>1553</v>
      </c>
      <c r="H290" s="4" t="s">
        <v>765</v>
      </c>
      <c r="I290" s="4" t="s">
        <v>337</v>
      </c>
      <c r="J290" s="4" t="s">
        <v>25</v>
      </c>
      <c r="K290" s="4" t="s">
        <v>50</v>
      </c>
      <c r="L290" s="4" t="s">
        <v>1554</v>
      </c>
      <c r="M290" s="6" t="str">
        <f>HYPERLINK("http://maps.google.com/maps?f=q&amp;hl=en&amp;geocode=&amp;q=-29.72192,152.91841")</f>
        <v>http://maps.google.com/maps?f=q&amp;hl=en&amp;geocode=&amp;q=-29.72192,152.91841</v>
      </c>
    </row>
    <row r="291" spans="1:13" ht="60" x14ac:dyDescent="0.25">
      <c r="A291" s="4" t="s">
        <v>1548</v>
      </c>
      <c r="B291" s="4" t="s">
        <v>82</v>
      </c>
      <c r="C291" s="4" t="s">
        <v>70</v>
      </c>
      <c r="D291" s="4" t="s">
        <v>15</v>
      </c>
      <c r="F291" s="5">
        <v>11</v>
      </c>
      <c r="G291" s="4" t="s">
        <v>1549</v>
      </c>
      <c r="H291" s="4" t="s">
        <v>1550</v>
      </c>
      <c r="I291" s="4" t="s">
        <v>337</v>
      </c>
      <c r="J291" s="4" t="s">
        <v>25</v>
      </c>
      <c r="K291" s="4" t="s">
        <v>19</v>
      </c>
      <c r="L291" s="4" t="s">
        <v>1551</v>
      </c>
      <c r="M291" s="6" t="str">
        <f>HYPERLINK("http://maps.google.com/maps?f=q&amp;hl=en&amp;geocode=&amp;q=-28.49029,153.54281")</f>
        <v>http://maps.google.com/maps?f=q&amp;hl=en&amp;geocode=&amp;q=-28.49029,153.54281</v>
      </c>
    </row>
    <row r="292" spans="1:13" ht="60" x14ac:dyDescent="0.25">
      <c r="A292" s="4" t="s">
        <v>1543</v>
      </c>
      <c r="B292" s="4" t="s">
        <v>22</v>
      </c>
      <c r="C292" s="4" t="s">
        <v>14</v>
      </c>
      <c r="D292" s="4" t="s">
        <v>15</v>
      </c>
      <c r="F292" s="5" t="s">
        <v>1544</v>
      </c>
      <c r="G292" s="4" t="s">
        <v>1545</v>
      </c>
      <c r="H292" s="4" t="s">
        <v>296</v>
      </c>
      <c r="I292" s="4" t="s">
        <v>1546</v>
      </c>
      <c r="J292" s="4" t="s">
        <v>25</v>
      </c>
      <c r="K292" s="4" t="s">
        <v>19</v>
      </c>
      <c r="L292" s="4" t="s">
        <v>1547</v>
      </c>
      <c r="M292" s="6" t="str">
        <f>HYPERLINK("http://maps.google.com/maps?f=q&amp;hl=en&amp;geocode=&amp;q=-28.25527,153.56716")</f>
        <v>http://maps.google.com/maps?f=q&amp;hl=en&amp;geocode=&amp;q=-28.25527,153.56716</v>
      </c>
    </row>
    <row r="293" spans="1:13" ht="60" x14ac:dyDescent="0.25">
      <c r="A293" s="4" t="s">
        <v>1540</v>
      </c>
      <c r="B293" s="4" t="s">
        <v>28</v>
      </c>
      <c r="C293" s="4" t="s">
        <v>14</v>
      </c>
      <c r="D293" s="4" t="s">
        <v>15</v>
      </c>
      <c r="F293" s="5">
        <v>36</v>
      </c>
      <c r="G293" s="4" t="s">
        <v>1541</v>
      </c>
      <c r="H293" s="4" t="s">
        <v>93</v>
      </c>
      <c r="J293" s="4" t="s">
        <v>31</v>
      </c>
      <c r="K293" s="4" t="s">
        <v>95</v>
      </c>
      <c r="L293" s="4" t="s">
        <v>44</v>
      </c>
      <c r="M293" s="6" t="str">
        <f>HYPERLINK("http://maps.google.com/maps?f=q&amp;hl=en&amp;geocode=&amp;q=-28.82298,153.42629")</f>
        <v>http://maps.google.com/maps?f=q&amp;hl=en&amp;geocode=&amp;q=-28.82298,153.42629</v>
      </c>
    </row>
    <row r="294" spans="1:13" ht="60" x14ac:dyDescent="0.25">
      <c r="A294" s="4" t="s">
        <v>1537</v>
      </c>
      <c r="B294" s="4" t="s">
        <v>22</v>
      </c>
      <c r="C294" s="4" t="s">
        <v>14</v>
      </c>
      <c r="D294" s="4" t="s">
        <v>15</v>
      </c>
      <c r="F294" s="5">
        <v>1</v>
      </c>
      <c r="G294" s="4" t="s">
        <v>1538</v>
      </c>
      <c r="H294" s="4" t="s">
        <v>110</v>
      </c>
      <c r="J294" s="4" t="s">
        <v>19</v>
      </c>
      <c r="K294" s="4" t="s">
        <v>25</v>
      </c>
      <c r="L294" s="4" t="s">
        <v>1539</v>
      </c>
      <c r="M294" s="6" t="str">
        <f>HYPERLINK("http://maps.google.com/maps?f=q&amp;hl=en&amp;geocode=&amp;q=-28.3276,153.38031")</f>
        <v>http://maps.google.com/maps?f=q&amp;hl=en&amp;geocode=&amp;q=-28.3276,153.38031</v>
      </c>
    </row>
    <row r="295" spans="1:13" ht="60" x14ac:dyDescent="0.25">
      <c r="A295" s="4" t="s">
        <v>1534</v>
      </c>
      <c r="B295" s="4" t="s">
        <v>69</v>
      </c>
      <c r="C295" s="4" t="s">
        <v>14</v>
      </c>
      <c r="D295" s="4" t="s">
        <v>15</v>
      </c>
      <c r="F295" s="5">
        <v>35</v>
      </c>
      <c r="G295" s="4" t="s">
        <v>1535</v>
      </c>
      <c r="H295" s="4" t="s">
        <v>765</v>
      </c>
      <c r="I295" s="4" t="s">
        <v>1536</v>
      </c>
      <c r="J295" s="4" t="s">
        <v>251</v>
      </c>
      <c r="K295" s="4" t="s">
        <v>19</v>
      </c>
      <c r="M295" s="6" t="str">
        <f>HYPERLINK("http://maps.google.com/maps?f=q&amp;hl=en&amp;geocode=&amp;q=-29.71116,152.9366")</f>
        <v>http://maps.google.com/maps?f=q&amp;hl=en&amp;geocode=&amp;q=-29.71116,152.9366</v>
      </c>
    </row>
    <row r="296" spans="1:13" ht="60" x14ac:dyDescent="0.25">
      <c r="A296" s="4" t="s">
        <v>1530</v>
      </c>
      <c r="B296" s="4" t="s">
        <v>28</v>
      </c>
      <c r="C296" s="4" t="s">
        <v>14</v>
      </c>
      <c r="D296" s="4" t="s">
        <v>15</v>
      </c>
      <c r="F296" s="5">
        <v>46</v>
      </c>
      <c r="G296" s="4" t="s">
        <v>1531</v>
      </c>
      <c r="H296" s="4" t="s">
        <v>121</v>
      </c>
      <c r="I296" s="4" t="s">
        <v>1532</v>
      </c>
      <c r="J296" s="4" t="s">
        <v>19</v>
      </c>
      <c r="K296" s="4" t="s">
        <v>18</v>
      </c>
      <c r="L296" s="4" t="s">
        <v>1533</v>
      </c>
      <c r="M296" s="6" t="str">
        <f>HYPERLINK("http://maps.google.com/maps?f=q&amp;hl=en&amp;geocode=&amp;q=-28.83784,153.44787")</f>
        <v>http://maps.google.com/maps?f=q&amp;hl=en&amp;geocode=&amp;q=-28.83784,153.44787</v>
      </c>
    </row>
    <row r="297" spans="1:13" ht="60" x14ac:dyDescent="0.25">
      <c r="A297" s="4" t="s">
        <v>1527</v>
      </c>
      <c r="B297" s="4" t="s">
        <v>34</v>
      </c>
      <c r="C297" s="4" t="s">
        <v>14</v>
      </c>
      <c r="D297" s="4" t="s">
        <v>15</v>
      </c>
      <c r="F297" s="5">
        <v>40</v>
      </c>
      <c r="G297" s="4" t="s">
        <v>1528</v>
      </c>
      <c r="H297" s="4" t="s">
        <v>61</v>
      </c>
      <c r="I297" s="4" t="s">
        <v>1529</v>
      </c>
      <c r="J297" s="4" t="s">
        <v>66</v>
      </c>
      <c r="K297" s="4" t="s">
        <v>18</v>
      </c>
      <c r="L297" s="4" t="s">
        <v>31</v>
      </c>
      <c r="M297" s="6" t="str">
        <f>HYPERLINK("http://maps.google.com/maps?f=q&amp;hl=en&amp;geocode=&amp;q=-28.82594,153.33883")</f>
        <v>http://maps.google.com/maps?f=q&amp;hl=en&amp;geocode=&amp;q=-28.82594,153.33883</v>
      </c>
    </row>
    <row r="298" spans="1:13" ht="75" x14ac:dyDescent="0.25">
      <c r="A298" s="7" t="s">
        <v>1521</v>
      </c>
      <c r="B298" s="4" t="s">
        <v>34</v>
      </c>
      <c r="C298" s="4" t="s">
        <v>14</v>
      </c>
      <c r="D298" s="4" t="s">
        <v>1522</v>
      </c>
      <c r="F298" s="5">
        <v>14</v>
      </c>
      <c r="G298" s="4" t="s">
        <v>1523</v>
      </c>
      <c r="H298" s="4" t="s">
        <v>1524</v>
      </c>
      <c r="I298" s="4" t="s">
        <v>1525</v>
      </c>
      <c r="J298" s="4" t="s">
        <v>19</v>
      </c>
      <c r="K298" s="4" t="s">
        <v>224</v>
      </c>
      <c r="L298" s="4" t="s">
        <v>1526</v>
      </c>
    </row>
    <row r="299" spans="1:13" ht="60" x14ac:dyDescent="0.25">
      <c r="A299" s="4" t="s">
        <v>1519</v>
      </c>
      <c r="B299" s="4" t="s">
        <v>28</v>
      </c>
      <c r="C299" s="4" t="s">
        <v>14</v>
      </c>
      <c r="D299" s="4" t="s">
        <v>15</v>
      </c>
      <c r="F299" s="5" t="s">
        <v>786</v>
      </c>
      <c r="G299" s="4" t="s">
        <v>1475</v>
      </c>
      <c r="H299" s="4" t="s">
        <v>1520</v>
      </c>
      <c r="J299" s="4" t="s">
        <v>19</v>
      </c>
      <c r="K299" s="4" t="s">
        <v>31</v>
      </c>
      <c r="M299" s="6" t="str">
        <f>HYPERLINK("http://maps.google.com/maps?f=q&amp;hl=en&amp;geocode=&amp;q=-28.86723,153.56771")</f>
        <v>http://maps.google.com/maps?f=q&amp;hl=en&amp;geocode=&amp;q=-28.86723,153.56771</v>
      </c>
    </row>
    <row r="300" spans="1:13" ht="60" x14ac:dyDescent="0.25">
      <c r="A300" s="4" t="s">
        <v>1517</v>
      </c>
      <c r="B300" s="4" t="s">
        <v>34</v>
      </c>
      <c r="C300" s="4" t="s">
        <v>14</v>
      </c>
      <c r="D300" s="4" t="s">
        <v>15</v>
      </c>
      <c r="F300" s="5">
        <v>71</v>
      </c>
      <c r="G300" s="4" t="s">
        <v>1099</v>
      </c>
      <c r="H300" s="4" t="s">
        <v>245</v>
      </c>
      <c r="J300" s="4" t="s">
        <v>49</v>
      </c>
      <c r="K300" s="4" t="s">
        <v>25</v>
      </c>
      <c r="L300" s="4" t="s">
        <v>1518</v>
      </c>
      <c r="M300" s="6" t="str">
        <f>HYPERLINK("http://maps.google.com/maps?f=q&amp;hl=en&amp;geocode=&amp;q=-28.81929,153.28947")</f>
        <v>http://maps.google.com/maps?f=q&amp;hl=en&amp;geocode=&amp;q=-28.81929,153.28947</v>
      </c>
    </row>
    <row r="301" spans="1:13" ht="60" x14ac:dyDescent="0.25">
      <c r="A301" s="4" t="s">
        <v>1513</v>
      </c>
      <c r="B301" s="4" t="s">
        <v>34</v>
      </c>
      <c r="C301" s="4" t="s">
        <v>14</v>
      </c>
      <c r="D301" s="4" t="s">
        <v>15</v>
      </c>
      <c r="F301" s="5">
        <v>91</v>
      </c>
      <c r="G301" s="4" t="s">
        <v>1514</v>
      </c>
      <c r="H301" s="4" t="s">
        <v>36</v>
      </c>
      <c r="I301" s="4" t="s">
        <v>1515</v>
      </c>
      <c r="J301" s="4" t="s">
        <v>38</v>
      </c>
      <c r="K301" s="4" t="s">
        <v>57</v>
      </c>
      <c r="L301" s="4" t="s">
        <v>1516</v>
      </c>
      <c r="M301" s="6" t="str">
        <f>HYPERLINK("http://maps.google.com/maps?f=q&amp;hl=en&amp;geocode=&amp;q=-28.80777,153.26322")</f>
        <v>http://maps.google.com/maps?f=q&amp;hl=en&amp;geocode=&amp;q=-28.80777,153.26322</v>
      </c>
    </row>
    <row r="302" spans="1:13" ht="60" x14ac:dyDescent="0.25">
      <c r="A302" s="4" t="s">
        <v>1510</v>
      </c>
      <c r="B302" s="4" t="s">
        <v>22</v>
      </c>
      <c r="C302" s="4" t="s">
        <v>14</v>
      </c>
      <c r="D302" s="4" t="s">
        <v>15</v>
      </c>
      <c r="F302" s="5">
        <v>33</v>
      </c>
      <c r="G302" s="4" t="s">
        <v>1511</v>
      </c>
      <c r="H302" s="4" t="s">
        <v>110</v>
      </c>
      <c r="J302" s="4" t="s">
        <v>25</v>
      </c>
      <c r="K302" s="4" t="s">
        <v>19</v>
      </c>
      <c r="L302" s="4" t="s">
        <v>1512</v>
      </c>
      <c r="M302" s="6" t="str">
        <f>HYPERLINK("http://maps.google.com/maps?f=q&amp;hl=en&amp;geocode=&amp;q=-28.32566,153.38851")</f>
        <v>http://maps.google.com/maps?f=q&amp;hl=en&amp;geocode=&amp;q=-28.32566,153.38851</v>
      </c>
    </row>
    <row r="303" spans="1:13" ht="60" x14ac:dyDescent="0.25">
      <c r="A303" s="4" t="s">
        <v>1507</v>
      </c>
      <c r="B303" s="4" t="s">
        <v>22</v>
      </c>
      <c r="C303" s="4" t="s">
        <v>14</v>
      </c>
      <c r="D303" s="4" t="s">
        <v>41</v>
      </c>
      <c r="F303" s="5">
        <v>1</v>
      </c>
      <c r="G303" s="4" t="s">
        <v>1508</v>
      </c>
      <c r="H303" s="4" t="s">
        <v>909</v>
      </c>
      <c r="J303" s="4" t="s">
        <v>18</v>
      </c>
      <c r="K303" s="4" t="s">
        <v>25</v>
      </c>
      <c r="L303" s="4" t="s">
        <v>1509</v>
      </c>
      <c r="M303" s="6" t="str">
        <f>HYPERLINK("http://maps.google.com/maps?f=q&amp;hl=en&amp;geocode=&amp;q=-28.24216,153.50164")</f>
        <v>http://maps.google.com/maps?f=q&amp;hl=en&amp;geocode=&amp;q=-28.24216,153.50164</v>
      </c>
    </row>
    <row r="304" spans="1:13" ht="60" x14ac:dyDescent="0.25">
      <c r="A304" s="4" t="s">
        <v>1503</v>
      </c>
      <c r="B304" s="4" t="s">
        <v>22</v>
      </c>
      <c r="C304" s="4" t="s">
        <v>14</v>
      </c>
      <c r="D304" s="4" t="s">
        <v>15</v>
      </c>
      <c r="F304" s="5">
        <v>41</v>
      </c>
      <c r="G304" s="4" t="s">
        <v>1504</v>
      </c>
      <c r="H304" s="4" t="s">
        <v>165</v>
      </c>
      <c r="I304" s="4" t="s">
        <v>1505</v>
      </c>
      <c r="J304" s="4" t="s">
        <v>31</v>
      </c>
      <c r="K304" s="4" t="s">
        <v>31</v>
      </c>
      <c r="L304" s="4" t="s">
        <v>1506</v>
      </c>
      <c r="M304" s="6" t="str">
        <f>HYPERLINK("http://maps.google.com/maps?f=q&amp;hl=en&amp;geocode=&amp;q=-28.22711,153.53629")</f>
        <v>http://maps.google.com/maps?f=q&amp;hl=en&amp;geocode=&amp;q=-28.22711,153.53629</v>
      </c>
    </row>
    <row r="305" spans="1:13" ht="60" x14ac:dyDescent="0.25">
      <c r="A305" s="4" t="s">
        <v>1500</v>
      </c>
      <c r="B305" s="4" t="s">
        <v>28</v>
      </c>
      <c r="C305" s="4" t="s">
        <v>14</v>
      </c>
      <c r="D305" s="4" t="s">
        <v>15</v>
      </c>
      <c r="F305" s="5" t="s">
        <v>1501</v>
      </c>
      <c r="G305" s="4" t="s">
        <v>668</v>
      </c>
      <c r="H305" s="4" t="s">
        <v>30</v>
      </c>
      <c r="I305" s="4" t="s">
        <v>1502</v>
      </c>
      <c r="M305" s="6" t="str">
        <f>HYPERLINK("http://maps.google.com/maps?f=q&amp;hl=en&amp;geocode=&amp;q=-28.78739,153.58984")</f>
        <v>http://maps.google.com/maps?f=q&amp;hl=en&amp;geocode=&amp;q=-28.78739,153.58984</v>
      </c>
    </row>
    <row r="306" spans="1:13" ht="75" x14ac:dyDescent="0.25">
      <c r="A306" s="4" t="s">
        <v>1496</v>
      </c>
      <c r="B306" s="4" t="s">
        <v>28</v>
      </c>
      <c r="C306" s="4" t="s">
        <v>14</v>
      </c>
      <c r="D306" s="4" t="s">
        <v>15</v>
      </c>
      <c r="F306" s="5">
        <v>16</v>
      </c>
      <c r="G306" s="4" t="s">
        <v>1497</v>
      </c>
      <c r="H306" s="4" t="s">
        <v>30</v>
      </c>
      <c r="I306" s="4" t="s">
        <v>1498</v>
      </c>
      <c r="J306" s="4" t="s">
        <v>49</v>
      </c>
      <c r="K306" s="4" t="s">
        <v>44</v>
      </c>
      <c r="L306" s="4" t="s">
        <v>1499</v>
      </c>
      <c r="M306" s="6" t="str">
        <f>HYPERLINK("http://maps.google.com/maps?f=q&amp;hl=en&amp;geocode=&amp;q=-28.80139,153.5832299")</f>
        <v>http://maps.google.com/maps?f=q&amp;hl=en&amp;geocode=&amp;q=-28.80139,153.5832299</v>
      </c>
    </row>
    <row r="307" spans="1:13" ht="60" x14ac:dyDescent="0.25">
      <c r="A307" s="4" t="s">
        <v>1492</v>
      </c>
      <c r="B307" s="4" t="s">
        <v>82</v>
      </c>
      <c r="C307" s="4" t="s">
        <v>14</v>
      </c>
      <c r="D307" s="4" t="s">
        <v>15</v>
      </c>
      <c r="F307" s="5">
        <v>34</v>
      </c>
      <c r="G307" s="4" t="s">
        <v>1493</v>
      </c>
      <c r="H307" s="4" t="s">
        <v>832</v>
      </c>
      <c r="I307" s="4" t="s">
        <v>1494</v>
      </c>
      <c r="J307" s="4" t="s">
        <v>19</v>
      </c>
      <c r="K307" s="4" t="s">
        <v>18</v>
      </c>
      <c r="L307" s="4" t="s">
        <v>1495</v>
      </c>
      <c r="M307" s="6" t="str">
        <f>HYPERLINK("http://maps.google.com/maps?f=q&amp;hl=en&amp;geocode=&amp;q=-28.67841,153.60733")</f>
        <v>http://maps.google.com/maps?f=q&amp;hl=en&amp;geocode=&amp;q=-28.67841,153.60733</v>
      </c>
    </row>
    <row r="308" spans="1:13" ht="60" x14ac:dyDescent="0.25">
      <c r="A308" s="4" t="s">
        <v>1489</v>
      </c>
      <c r="B308" s="4" t="s">
        <v>22</v>
      </c>
      <c r="C308" s="4" t="s">
        <v>14</v>
      </c>
      <c r="D308" s="4" t="s">
        <v>15</v>
      </c>
      <c r="F308" s="5" t="s">
        <v>1490</v>
      </c>
      <c r="G308" s="4" t="s">
        <v>1186</v>
      </c>
      <c r="H308" s="4" t="s">
        <v>165</v>
      </c>
      <c r="I308" s="4" t="s">
        <v>428</v>
      </c>
      <c r="J308" s="4" t="s">
        <v>25</v>
      </c>
      <c r="K308" s="4" t="s">
        <v>49</v>
      </c>
      <c r="L308" s="4" t="s">
        <v>1491</v>
      </c>
      <c r="M308" s="6" t="str">
        <f>HYPERLINK("http://maps.google.com/maps?f=q&amp;hl=en&amp;geocode=&amp;q=-28.21712,153.53238")</f>
        <v>http://maps.google.com/maps?f=q&amp;hl=en&amp;geocode=&amp;q=-28.21712,153.53238</v>
      </c>
    </row>
    <row r="309" spans="1:13" ht="60" x14ac:dyDescent="0.25">
      <c r="A309" s="4" t="s">
        <v>1486</v>
      </c>
      <c r="B309" s="4" t="s">
        <v>69</v>
      </c>
      <c r="C309" s="4" t="s">
        <v>14</v>
      </c>
      <c r="D309" s="4" t="s">
        <v>15</v>
      </c>
      <c r="F309" s="5">
        <v>288</v>
      </c>
      <c r="G309" s="4" t="s">
        <v>1487</v>
      </c>
      <c r="H309" s="4" t="s">
        <v>349</v>
      </c>
      <c r="I309" s="4" t="s">
        <v>1488</v>
      </c>
      <c r="J309" s="4" t="s">
        <v>38</v>
      </c>
      <c r="K309" s="4" t="s">
        <v>19</v>
      </c>
      <c r="M309" s="6" t="str">
        <f>HYPERLINK("http://maps.google.com/maps?f=q&amp;hl=en&amp;geocode=&amp;q=-29.66928,152.94487")</f>
        <v>http://maps.google.com/maps?f=q&amp;hl=en&amp;geocode=&amp;q=-29.66928,152.94487</v>
      </c>
    </row>
    <row r="310" spans="1:13" ht="60" x14ac:dyDescent="0.25">
      <c r="A310" s="4" t="s">
        <v>1484</v>
      </c>
      <c r="B310" s="4" t="s">
        <v>69</v>
      </c>
      <c r="C310" s="4" t="s">
        <v>14</v>
      </c>
      <c r="F310" s="5">
        <v>4</v>
      </c>
      <c r="G310" s="4" t="s">
        <v>1485</v>
      </c>
      <c r="H310" s="4" t="s">
        <v>861</v>
      </c>
      <c r="J310" s="4" t="s">
        <v>19</v>
      </c>
      <c r="M310" s="6" t="str">
        <f>HYPERLINK("http://maps.google.com/maps?f=q&amp;hl=en&amp;geocode=&amp;q=-29.46326,153.21834")</f>
        <v>http://maps.google.com/maps?f=q&amp;hl=en&amp;geocode=&amp;q=-29.46326,153.21834</v>
      </c>
    </row>
    <row r="311" spans="1:13" ht="60" x14ac:dyDescent="0.25">
      <c r="A311" s="4" t="s">
        <v>1483</v>
      </c>
      <c r="B311" s="4" t="s">
        <v>34</v>
      </c>
      <c r="C311" s="4" t="s">
        <v>14</v>
      </c>
      <c r="D311" s="4" t="s">
        <v>15</v>
      </c>
      <c r="F311" s="5">
        <v>624</v>
      </c>
      <c r="G311" s="4" t="s">
        <v>1031</v>
      </c>
      <c r="H311" s="4" t="s">
        <v>61</v>
      </c>
      <c r="J311" s="4" t="s">
        <v>66</v>
      </c>
      <c r="K311" s="4" t="s">
        <v>31</v>
      </c>
      <c r="L311" s="4" t="s">
        <v>25</v>
      </c>
      <c r="M311" s="6" t="str">
        <f>HYPERLINK("http://maps.google.com/maps?f=q&amp;hl=en&amp;geocode=&amp;q=-28.81761,153.3255")</f>
        <v>http://maps.google.com/maps?f=q&amp;hl=en&amp;geocode=&amp;q=-28.81761,153.3255</v>
      </c>
    </row>
    <row r="312" spans="1:13" ht="60" x14ac:dyDescent="0.25">
      <c r="A312" s="4" t="s">
        <v>1480</v>
      </c>
      <c r="B312" s="4" t="s">
        <v>22</v>
      </c>
      <c r="C312" s="4" t="s">
        <v>70</v>
      </c>
      <c r="D312" s="4" t="s">
        <v>15</v>
      </c>
      <c r="F312" s="5">
        <v>227</v>
      </c>
      <c r="G312" s="4" t="s">
        <v>1481</v>
      </c>
      <c r="H312" s="4" t="s">
        <v>1482</v>
      </c>
      <c r="I312" s="4" t="s">
        <v>31</v>
      </c>
      <c r="J312" s="4" t="s">
        <v>38</v>
      </c>
      <c r="K312" s="4" t="s">
        <v>18</v>
      </c>
      <c r="L312" s="4" t="s">
        <v>428</v>
      </c>
      <c r="M312" s="6" t="str">
        <f>HYPERLINK("http://maps.google.com/maps?f=q&amp;hl=en&amp;geocode=&amp;q=-28.41702,153.36026")</f>
        <v>http://maps.google.com/maps?f=q&amp;hl=en&amp;geocode=&amp;q=-28.41702,153.36026</v>
      </c>
    </row>
    <row r="313" spans="1:13" ht="60" x14ac:dyDescent="0.25">
      <c r="A313" s="4" t="s">
        <v>1477</v>
      </c>
      <c r="B313" s="4" t="s">
        <v>69</v>
      </c>
      <c r="C313" s="4" t="s">
        <v>14</v>
      </c>
      <c r="D313" s="4" t="s">
        <v>41</v>
      </c>
      <c r="F313" s="5">
        <v>20</v>
      </c>
      <c r="G313" s="4" t="s">
        <v>1478</v>
      </c>
      <c r="H313" s="4" t="s">
        <v>72</v>
      </c>
      <c r="J313" s="4" t="s">
        <v>25</v>
      </c>
      <c r="K313" s="4" t="s">
        <v>18</v>
      </c>
      <c r="L313" s="4" t="s">
        <v>1479</v>
      </c>
      <c r="M313" s="6" t="str">
        <f>HYPERLINK("http://maps.google.com/maps?f=q&amp;hl=en&amp;geocode=&amp;q=-29.42229,153.32472")</f>
        <v>http://maps.google.com/maps?f=q&amp;hl=en&amp;geocode=&amp;q=-29.42229,153.32472</v>
      </c>
    </row>
    <row r="314" spans="1:13" ht="60" x14ac:dyDescent="0.25">
      <c r="A314" s="4" t="s">
        <v>1473</v>
      </c>
      <c r="B314" s="4" t="s">
        <v>28</v>
      </c>
      <c r="C314" s="4" t="s">
        <v>70</v>
      </c>
      <c r="D314" s="4" t="s">
        <v>41</v>
      </c>
      <c r="F314" s="5" t="s">
        <v>1474</v>
      </c>
      <c r="G314" s="4" t="s">
        <v>1475</v>
      </c>
      <c r="H314" s="4" t="s">
        <v>30</v>
      </c>
      <c r="I314" s="4" t="s">
        <v>1476</v>
      </c>
      <c r="J314" s="4" t="s">
        <v>145</v>
      </c>
      <c r="K314" s="4" t="s">
        <v>57</v>
      </c>
      <c r="M314" s="6" t="str">
        <f>HYPERLINK("http://maps.google.com/maps?f=q&amp;hl=en&amp;geocode=&amp;q=-28.78664,153.59167")</f>
        <v>http://maps.google.com/maps?f=q&amp;hl=en&amp;geocode=&amp;q=-28.78664,153.59167</v>
      </c>
    </row>
    <row r="315" spans="1:13" ht="60" x14ac:dyDescent="0.25">
      <c r="A315" s="4" t="s">
        <v>1469</v>
      </c>
      <c r="B315" s="4" t="s">
        <v>34</v>
      </c>
      <c r="C315" s="4" t="s">
        <v>70</v>
      </c>
      <c r="D315" s="4" t="s">
        <v>15</v>
      </c>
      <c r="F315" s="5">
        <v>21</v>
      </c>
      <c r="G315" s="4" t="s">
        <v>1470</v>
      </c>
      <c r="H315" s="4" t="s">
        <v>61</v>
      </c>
      <c r="I315" s="4" t="s">
        <v>1471</v>
      </c>
      <c r="J315" s="4" t="s">
        <v>38</v>
      </c>
      <c r="K315" s="4" t="s">
        <v>19</v>
      </c>
      <c r="L315" s="4" t="s">
        <v>1472</v>
      </c>
      <c r="M315" s="6" t="str">
        <f>HYPERLINK("http://maps.google.com/maps?f=q&amp;hl=en&amp;geocode=&amp;q=-28.81496,153.33295")</f>
        <v>http://maps.google.com/maps?f=q&amp;hl=en&amp;geocode=&amp;q=-28.81496,153.33295</v>
      </c>
    </row>
    <row r="316" spans="1:13" ht="60" x14ac:dyDescent="0.25">
      <c r="A316" s="4" t="s">
        <v>1465</v>
      </c>
      <c r="B316" s="4" t="s">
        <v>69</v>
      </c>
      <c r="C316" s="4" t="s">
        <v>14</v>
      </c>
      <c r="D316" s="4" t="s">
        <v>15</v>
      </c>
      <c r="F316" s="5">
        <v>10</v>
      </c>
      <c r="G316" s="4" t="s">
        <v>1466</v>
      </c>
      <c r="H316" s="4" t="s">
        <v>517</v>
      </c>
      <c r="I316" s="4" t="s">
        <v>1467</v>
      </c>
      <c r="J316" s="4" t="s">
        <v>19</v>
      </c>
      <c r="K316" s="4" t="s">
        <v>44</v>
      </c>
      <c r="L316" s="4" t="s">
        <v>1468</v>
      </c>
      <c r="M316" s="6" t="str">
        <f>HYPERLINK("http://maps.google.com/maps?f=q&amp;hl=en&amp;geocode=&amp;q=-29.6391,152.92632")</f>
        <v>http://maps.google.com/maps?f=q&amp;hl=en&amp;geocode=&amp;q=-29.6391,152.92632</v>
      </c>
    </row>
    <row r="317" spans="1:13" ht="60" x14ac:dyDescent="0.25">
      <c r="A317" s="4" t="s">
        <v>1462</v>
      </c>
      <c r="B317" s="4" t="s">
        <v>22</v>
      </c>
      <c r="C317" s="8" t="s">
        <v>14</v>
      </c>
      <c r="D317" s="4" t="s">
        <v>15</v>
      </c>
      <c r="F317" s="5">
        <v>15</v>
      </c>
      <c r="G317" s="4" t="s">
        <v>647</v>
      </c>
      <c r="H317" s="4" t="s">
        <v>165</v>
      </c>
      <c r="I317" s="4" t="s">
        <v>1463</v>
      </c>
      <c r="J317" s="4" t="s">
        <v>19</v>
      </c>
      <c r="K317" s="4" t="s">
        <v>57</v>
      </c>
      <c r="L317" s="4" t="s">
        <v>1464</v>
      </c>
      <c r="M317" s="6" t="str">
        <f>HYPERLINK("http://maps.google.com/maps?f=q&amp;hl=en&amp;geocode=&amp;q=-28.22238,153.54571")</f>
        <v>http://maps.google.com/maps?f=q&amp;hl=en&amp;geocode=&amp;q=-28.22238,153.54571</v>
      </c>
    </row>
    <row r="318" spans="1:13" ht="75" x14ac:dyDescent="0.25">
      <c r="A318" s="4" t="s">
        <v>1460</v>
      </c>
      <c r="B318" s="4" t="s">
        <v>34</v>
      </c>
      <c r="C318" s="4" t="s">
        <v>70</v>
      </c>
      <c r="D318" s="4" t="s">
        <v>15</v>
      </c>
      <c r="F318" s="5">
        <v>543</v>
      </c>
      <c r="G318" s="4" t="s">
        <v>1031</v>
      </c>
      <c r="H318" s="4" t="s">
        <v>61</v>
      </c>
      <c r="J318" s="4" t="s">
        <v>25</v>
      </c>
      <c r="K318" s="4" t="s">
        <v>19</v>
      </c>
      <c r="L318" s="4" t="s">
        <v>1461</v>
      </c>
      <c r="M318" s="6" t="str">
        <f>HYPERLINK("http://maps.google.com/maps?f=q&amp;hl=en&amp;geocode=&amp;q=-28.81562,153.3165799")</f>
        <v>http://maps.google.com/maps?f=q&amp;hl=en&amp;geocode=&amp;q=-28.81562,153.3165799</v>
      </c>
    </row>
    <row r="319" spans="1:13" ht="60" x14ac:dyDescent="0.25">
      <c r="A319" s="4" t="s">
        <v>1457</v>
      </c>
      <c r="B319" s="4" t="s">
        <v>28</v>
      </c>
      <c r="C319" s="4" t="s">
        <v>70</v>
      </c>
      <c r="D319" s="4" t="s">
        <v>41</v>
      </c>
      <c r="F319" s="5">
        <v>72</v>
      </c>
      <c r="G319" s="4" t="s">
        <v>1427</v>
      </c>
      <c r="H319" s="4" t="s">
        <v>30</v>
      </c>
      <c r="I319" s="4" t="s">
        <v>1458</v>
      </c>
      <c r="J319" s="4" t="s">
        <v>31</v>
      </c>
      <c r="K319" s="4" t="s">
        <v>79</v>
      </c>
      <c r="L319" s="4" t="s">
        <v>1459</v>
      </c>
      <c r="M319" s="6" t="str">
        <f>HYPERLINK("http://maps.google.com/maps?f=q&amp;hl=en&amp;geocode=&amp;q=-28.803,153.58334")</f>
        <v>http://maps.google.com/maps?f=q&amp;hl=en&amp;geocode=&amp;q=-28.803,153.58334</v>
      </c>
    </row>
    <row r="320" spans="1:13" ht="60" x14ac:dyDescent="0.25">
      <c r="A320" s="4" t="s">
        <v>1453</v>
      </c>
      <c r="B320" s="4" t="s">
        <v>28</v>
      </c>
      <c r="C320" s="4" t="s">
        <v>70</v>
      </c>
      <c r="D320" s="4" t="s">
        <v>15</v>
      </c>
      <c r="F320" s="5" t="s">
        <v>1454</v>
      </c>
      <c r="G320" s="4" t="s">
        <v>405</v>
      </c>
      <c r="H320" s="4" t="s">
        <v>107</v>
      </c>
      <c r="I320" s="4" t="s">
        <v>1455</v>
      </c>
      <c r="J320" s="4" t="s">
        <v>57</v>
      </c>
      <c r="K320" s="4" t="s">
        <v>25</v>
      </c>
      <c r="L320" s="4" t="s">
        <v>1456</v>
      </c>
      <c r="M320" s="6" t="str">
        <f>HYPERLINK("http://maps.google.com/maps?f=q&amp;hl=en&amp;geocode=&amp;q=-28.86133,153.56879")</f>
        <v>http://maps.google.com/maps?f=q&amp;hl=en&amp;geocode=&amp;q=-28.86133,153.56879</v>
      </c>
    </row>
    <row r="321" spans="1:13" ht="60" x14ac:dyDescent="0.25">
      <c r="A321" s="4" t="s">
        <v>1449</v>
      </c>
      <c r="B321" s="4" t="s">
        <v>69</v>
      </c>
      <c r="C321" s="4" t="s">
        <v>14</v>
      </c>
      <c r="D321" s="4" t="s">
        <v>677</v>
      </c>
      <c r="E321" s="4" t="s">
        <v>1450</v>
      </c>
      <c r="F321" s="5">
        <v>130</v>
      </c>
      <c r="G321" s="4" t="s">
        <v>1451</v>
      </c>
      <c r="H321" s="4" t="s">
        <v>861</v>
      </c>
      <c r="J321" s="4" t="s">
        <v>57</v>
      </c>
      <c r="K321" s="4" t="s">
        <v>19</v>
      </c>
      <c r="L321" s="4" t="s">
        <v>1452</v>
      </c>
      <c r="M321" s="6" t="str">
        <f>HYPERLINK("http://maps.google.com/maps?f=q&amp;hl=en&amp;geocode=&amp;q=-29.46782,153.2233")</f>
        <v>http://maps.google.com/maps?f=q&amp;hl=en&amp;geocode=&amp;q=-29.46782,153.2233</v>
      </c>
    </row>
    <row r="322" spans="1:13" ht="75" x14ac:dyDescent="0.25">
      <c r="A322" s="4" t="s">
        <v>1446</v>
      </c>
      <c r="B322" s="4" t="s">
        <v>82</v>
      </c>
      <c r="C322" s="4" t="s">
        <v>70</v>
      </c>
      <c r="D322" s="4" t="s">
        <v>41</v>
      </c>
      <c r="F322" s="5">
        <v>39</v>
      </c>
      <c r="G322" s="4" t="s">
        <v>1447</v>
      </c>
      <c r="H322" s="4" t="s">
        <v>194</v>
      </c>
      <c r="I322" s="4" t="s">
        <v>1448</v>
      </c>
      <c r="J322" s="4" t="s">
        <v>31</v>
      </c>
      <c r="K322" s="4" t="s">
        <v>49</v>
      </c>
      <c r="L322" s="4" t="s">
        <v>737</v>
      </c>
      <c r="M322" s="6" t="str">
        <f>HYPERLINK("http://maps.google.com/maps?f=q&amp;hl=en&amp;geocode=&amp;q=-28.5508691,153.5022133")</f>
        <v>http://maps.google.com/maps?f=q&amp;hl=en&amp;geocode=&amp;q=-28.5508691,153.5022133</v>
      </c>
    </row>
    <row r="323" spans="1:13" ht="60" x14ac:dyDescent="0.25">
      <c r="A323" s="4" t="s">
        <v>1443</v>
      </c>
      <c r="B323" s="4" t="s">
        <v>126</v>
      </c>
      <c r="C323" s="4" t="s">
        <v>14</v>
      </c>
      <c r="D323" s="4" t="s">
        <v>41</v>
      </c>
      <c r="F323" s="5">
        <v>2</v>
      </c>
      <c r="G323" s="4" t="s">
        <v>1444</v>
      </c>
      <c r="H323" s="4" t="s">
        <v>128</v>
      </c>
      <c r="I323" s="4" t="s">
        <v>1445</v>
      </c>
      <c r="J323" s="4" t="s">
        <v>25</v>
      </c>
      <c r="K323" s="4" t="s">
        <v>19</v>
      </c>
      <c r="M323" s="6" t="str">
        <f>HYPERLINK("http://maps.google.com/maps?f=q&amp;hl=en&amp;geocode=&amp;q=-28.63683,153.00257")</f>
        <v>http://maps.google.com/maps?f=q&amp;hl=en&amp;geocode=&amp;q=-28.63683,153.00257</v>
      </c>
    </row>
    <row r="324" spans="1:13" ht="60" x14ac:dyDescent="0.25">
      <c r="A324" s="4" t="s">
        <v>1439</v>
      </c>
      <c r="B324" s="4" t="s">
        <v>126</v>
      </c>
      <c r="C324" s="4" t="s">
        <v>14</v>
      </c>
      <c r="D324" s="4" t="s">
        <v>15</v>
      </c>
      <c r="F324" s="5">
        <v>292</v>
      </c>
      <c r="G324" s="4" t="s">
        <v>1440</v>
      </c>
      <c r="H324" s="4" t="s">
        <v>128</v>
      </c>
      <c r="I324" s="4" t="s">
        <v>1441</v>
      </c>
      <c r="J324" s="4" t="s">
        <v>19</v>
      </c>
      <c r="K324" s="4" t="s">
        <v>44</v>
      </c>
      <c r="L324" s="4" t="s">
        <v>1442</v>
      </c>
      <c r="M324" s="6" t="str">
        <f>HYPERLINK("http://maps.google.com/maps?f=q&amp;hl=en&amp;geocode=&amp;q=-28.63705,153.00205")</f>
        <v>http://maps.google.com/maps?f=q&amp;hl=en&amp;geocode=&amp;q=-28.63705,153.00205</v>
      </c>
    </row>
    <row r="325" spans="1:13" ht="60" x14ac:dyDescent="0.25">
      <c r="A325" s="4" t="s">
        <v>1434</v>
      </c>
      <c r="B325" s="4" t="s">
        <v>22</v>
      </c>
      <c r="C325" s="4" t="s">
        <v>14</v>
      </c>
      <c r="D325" s="4" t="s">
        <v>677</v>
      </c>
      <c r="E325" s="4" t="s">
        <v>1435</v>
      </c>
      <c r="F325" s="5">
        <v>2</v>
      </c>
      <c r="G325" s="4" t="s">
        <v>1436</v>
      </c>
      <c r="H325" s="4" t="s">
        <v>703</v>
      </c>
      <c r="I325" s="4" t="s">
        <v>1437</v>
      </c>
      <c r="J325" s="4" t="s">
        <v>74</v>
      </c>
      <c r="K325" s="4" t="s">
        <v>25</v>
      </c>
      <c r="L325" s="4" t="s">
        <v>1438</v>
      </c>
      <c r="M325" s="6" t="str">
        <f>HYPERLINK("http://maps.google.com/maps?f=q&amp;hl=en&amp;geocode=&amp;q=-28.3743,153.55786")</f>
        <v>http://maps.google.com/maps?f=q&amp;hl=en&amp;geocode=&amp;q=-28.3743,153.55786</v>
      </c>
    </row>
    <row r="326" spans="1:13" ht="60" x14ac:dyDescent="0.25">
      <c r="A326" s="4" t="s">
        <v>1430</v>
      </c>
      <c r="B326" s="4" t="s">
        <v>22</v>
      </c>
      <c r="C326" s="4" t="s">
        <v>70</v>
      </c>
      <c r="D326" s="4" t="s">
        <v>15</v>
      </c>
      <c r="F326" s="5">
        <v>2</v>
      </c>
      <c r="G326" s="4" t="s">
        <v>1431</v>
      </c>
      <c r="H326" s="4" t="s">
        <v>296</v>
      </c>
      <c r="I326" s="4" t="s">
        <v>1432</v>
      </c>
      <c r="J326" s="4" t="s">
        <v>31</v>
      </c>
      <c r="K326" s="4" t="s">
        <v>19</v>
      </c>
      <c r="L326" s="4" t="s">
        <v>1433</v>
      </c>
      <c r="M326" s="6" t="str">
        <f>HYPERLINK("http://maps.google.com/maps?f=q&amp;hl=en&amp;geocode=&amp;q=-28.27833,153.57413")</f>
        <v>http://maps.google.com/maps?f=q&amp;hl=en&amp;geocode=&amp;q=-28.27833,153.57413</v>
      </c>
    </row>
    <row r="327" spans="1:13" ht="75" x14ac:dyDescent="0.25">
      <c r="A327" s="4" t="s">
        <v>1426</v>
      </c>
      <c r="B327" s="4" t="s">
        <v>28</v>
      </c>
      <c r="C327" s="4" t="s">
        <v>14</v>
      </c>
      <c r="D327" s="4" t="s">
        <v>15</v>
      </c>
      <c r="F327" s="5">
        <v>66</v>
      </c>
      <c r="G327" s="4" t="s">
        <v>1427</v>
      </c>
      <c r="H327" s="4" t="s">
        <v>30</v>
      </c>
      <c r="I327" s="4" t="s">
        <v>1428</v>
      </c>
      <c r="J327" s="4" t="s">
        <v>18</v>
      </c>
      <c r="K327" s="4" t="s">
        <v>19</v>
      </c>
      <c r="L327" s="4" t="s">
        <v>1429</v>
      </c>
      <c r="M327" s="6" t="str">
        <f>HYPERLINK("http://maps.google.com/maps?f=q&amp;hl=en&amp;geocode=&amp;q=-28.8025,153.5840399")</f>
        <v>http://maps.google.com/maps?f=q&amp;hl=en&amp;geocode=&amp;q=-28.8025,153.5840399</v>
      </c>
    </row>
    <row r="328" spans="1:13" ht="75" x14ac:dyDescent="0.25">
      <c r="A328" s="4" t="s">
        <v>1423</v>
      </c>
      <c r="B328" s="4" t="s">
        <v>28</v>
      </c>
      <c r="C328" s="4" t="s">
        <v>14</v>
      </c>
      <c r="D328" s="4" t="s">
        <v>15</v>
      </c>
      <c r="F328" s="5" t="s">
        <v>1424</v>
      </c>
      <c r="G328" s="4" t="s">
        <v>1425</v>
      </c>
      <c r="H328" s="4" t="s">
        <v>107</v>
      </c>
      <c r="M328" s="6" t="str">
        <f>HYPERLINK("http://maps.google.com/maps?f=q&amp;hl=en&amp;geocode=&amp;q=-28.8470573425293,153.531646728516")</f>
        <v>http://maps.google.com/maps?f=q&amp;hl=en&amp;geocode=&amp;q=-28.8470573425293,153.531646728516</v>
      </c>
    </row>
    <row r="329" spans="1:13" ht="60" x14ac:dyDescent="0.25">
      <c r="A329" s="4" t="s">
        <v>1420</v>
      </c>
      <c r="B329" s="4" t="s">
        <v>82</v>
      </c>
      <c r="C329" s="4" t="s">
        <v>14</v>
      </c>
      <c r="D329" s="4" t="s">
        <v>335</v>
      </c>
      <c r="F329" s="5">
        <v>24</v>
      </c>
      <c r="G329" s="4" t="s">
        <v>1421</v>
      </c>
      <c r="H329" s="4" t="s">
        <v>154</v>
      </c>
      <c r="I329" s="4" t="s">
        <v>1422</v>
      </c>
      <c r="J329" s="4" t="s">
        <v>18</v>
      </c>
      <c r="K329" s="4" t="s">
        <v>19</v>
      </c>
      <c r="M329" s="6" t="str">
        <f>HYPERLINK("http://maps.google.com/maps?f=q&amp;hl=en&amp;geocode=&amp;q=-28.48964,153.54771")</f>
        <v>http://maps.google.com/maps?f=q&amp;hl=en&amp;geocode=&amp;q=-28.48964,153.54771</v>
      </c>
    </row>
    <row r="330" spans="1:13" ht="60" x14ac:dyDescent="0.25">
      <c r="A330" s="4" t="s">
        <v>1416</v>
      </c>
      <c r="B330" s="4" t="s">
        <v>82</v>
      </c>
      <c r="C330" s="4" t="s">
        <v>14</v>
      </c>
      <c r="D330" s="4" t="s">
        <v>15</v>
      </c>
      <c r="F330" s="5">
        <v>11</v>
      </c>
      <c r="G330" s="4" t="s">
        <v>1417</v>
      </c>
      <c r="H330" s="4" t="s">
        <v>832</v>
      </c>
      <c r="I330" s="4" t="s">
        <v>1418</v>
      </c>
      <c r="J330" s="4" t="s">
        <v>18</v>
      </c>
      <c r="K330" s="4" t="s">
        <v>25</v>
      </c>
      <c r="L330" s="4" t="s">
        <v>1419</v>
      </c>
      <c r="M330" s="6" t="str">
        <f>HYPERLINK("http://maps.google.com/maps?f=q&amp;hl=en&amp;geocode=&amp;q=-28.68565,153.60978")</f>
        <v>http://maps.google.com/maps?f=q&amp;hl=en&amp;geocode=&amp;q=-28.68565,153.60978</v>
      </c>
    </row>
    <row r="331" spans="1:13" ht="60" x14ac:dyDescent="0.25">
      <c r="A331" s="4" t="s">
        <v>1414</v>
      </c>
      <c r="B331" s="4" t="s">
        <v>22</v>
      </c>
      <c r="C331" s="4" t="s">
        <v>70</v>
      </c>
      <c r="D331" s="4" t="s">
        <v>41</v>
      </c>
      <c r="F331" s="5">
        <v>22</v>
      </c>
      <c r="G331" s="4" t="s">
        <v>844</v>
      </c>
      <c r="H331" s="4" t="s">
        <v>24</v>
      </c>
      <c r="I331" s="4" t="s">
        <v>1415</v>
      </c>
      <c r="J331" s="4" t="s">
        <v>31</v>
      </c>
      <c r="K331" s="4" t="s">
        <v>25</v>
      </c>
      <c r="M331" s="6" t="str">
        <f>HYPERLINK("http://maps.google.com/maps?f=q&amp;hl=en&amp;geocode=&amp;q=-28.33987,153.56477")</f>
        <v>http://maps.google.com/maps?f=q&amp;hl=en&amp;geocode=&amp;q=-28.33987,153.56477</v>
      </c>
    </row>
    <row r="332" spans="1:13" ht="60" x14ac:dyDescent="0.25">
      <c r="A332" s="4" t="s">
        <v>1412</v>
      </c>
      <c r="B332" s="4" t="s">
        <v>22</v>
      </c>
      <c r="C332" s="4" t="s">
        <v>14</v>
      </c>
      <c r="D332" s="4" t="s">
        <v>15</v>
      </c>
      <c r="F332" s="5">
        <v>9</v>
      </c>
      <c r="G332" s="4" t="s">
        <v>1413</v>
      </c>
      <c r="H332" s="4" t="s">
        <v>165</v>
      </c>
      <c r="I332" s="4" t="s">
        <v>74</v>
      </c>
      <c r="J332" s="4" t="s">
        <v>19</v>
      </c>
      <c r="K332" s="4" t="s">
        <v>95</v>
      </c>
      <c r="M332" s="6" t="str">
        <f>HYPERLINK("http://maps.google.com/maps?f=q&amp;hl=en&amp;geocode=&amp;q=-28.21257,153.54375")</f>
        <v>http://maps.google.com/maps?f=q&amp;hl=en&amp;geocode=&amp;q=-28.21257,153.54375</v>
      </c>
    </row>
    <row r="333" spans="1:13" ht="60" x14ac:dyDescent="0.25">
      <c r="A333" s="4" t="s">
        <v>1410</v>
      </c>
      <c r="B333" s="4" t="s">
        <v>22</v>
      </c>
      <c r="C333" s="4" t="s">
        <v>70</v>
      </c>
      <c r="D333" s="4" t="s">
        <v>15</v>
      </c>
      <c r="F333" s="5">
        <v>5</v>
      </c>
      <c r="G333" s="4" t="s">
        <v>1411</v>
      </c>
      <c r="H333" s="4" t="s">
        <v>165</v>
      </c>
      <c r="J333" s="4" t="s">
        <v>25</v>
      </c>
      <c r="K333" s="4" t="s">
        <v>18</v>
      </c>
      <c r="L333" s="4" t="s">
        <v>74</v>
      </c>
      <c r="M333" s="6" t="str">
        <f>HYPERLINK("http://maps.google.com/maps?f=q&amp;hl=en&amp;geocode=&amp;q=-28.21842,153.53122")</f>
        <v>http://maps.google.com/maps?f=q&amp;hl=en&amp;geocode=&amp;q=-28.21842,153.53122</v>
      </c>
    </row>
    <row r="334" spans="1:13" ht="60" x14ac:dyDescent="0.25">
      <c r="A334" s="4" t="s">
        <v>1406</v>
      </c>
      <c r="B334" s="4" t="s">
        <v>22</v>
      </c>
      <c r="C334" s="4" t="s">
        <v>14</v>
      </c>
      <c r="D334" s="4" t="s">
        <v>15</v>
      </c>
      <c r="F334" s="5">
        <v>40</v>
      </c>
      <c r="G334" s="4" t="s">
        <v>1407</v>
      </c>
      <c r="H334" s="4" t="s">
        <v>165</v>
      </c>
      <c r="I334" s="4" t="s">
        <v>1408</v>
      </c>
      <c r="J334" s="4" t="s">
        <v>492</v>
      </c>
      <c r="K334" s="4" t="s">
        <v>25</v>
      </c>
      <c r="L334" s="4" t="s">
        <v>1409</v>
      </c>
      <c r="M334" s="6" t="str">
        <f>HYPERLINK("http://maps.google.com/maps?f=q&amp;hl=en&amp;geocode=&amp;q=-28.21097,153.52929")</f>
        <v>http://maps.google.com/maps?f=q&amp;hl=en&amp;geocode=&amp;q=-28.21097,153.52929</v>
      </c>
    </row>
    <row r="335" spans="1:13" ht="60" x14ac:dyDescent="0.25">
      <c r="A335" s="4" t="s">
        <v>1403</v>
      </c>
      <c r="B335" s="4" t="s">
        <v>22</v>
      </c>
      <c r="C335" s="4" t="s">
        <v>70</v>
      </c>
      <c r="D335" s="4" t="s">
        <v>15</v>
      </c>
      <c r="F335" s="5" t="s">
        <v>1404</v>
      </c>
      <c r="G335" s="4" t="s">
        <v>1405</v>
      </c>
      <c r="H335" s="4" t="s">
        <v>296</v>
      </c>
      <c r="J335" s="4" t="s">
        <v>19</v>
      </c>
      <c r="K335" s="4" t="s">
        <v>49</v>
      </c>
      <c r="M335" s="6" t="str">
        <f>HYPERLINK("http://maps.google.com/maps?f=q&amp;hl=en&amp;geocode=&amp;q=-28.25329,153.57212")</f>
        <v>http://maps.google.com/maps?f=q&amp;hl=en&amp;geocode=&amp;q=-28.25329,153.57212</v>
      </c>
    </row>
    <row r="336" spans="1:13" ht="60" x14ac:dyDescent="0.25">
      <c r="A336" s="4" t="s">
        <v>1400</v>
      </c>
      <c r="B336" s="4" t="s">
        <v>82</v>
      </c>
      <c r="C336" s="4" t="s">
        <v>14</v>
      </c>
      <c r="D336" s="4" t="s">
        <v>41</v>
      </c>
      <c r="F336" s="5">
        <v>21</v>
      </c>
      <c r="G336" s="4" t="s">
        <v>1401</v>
      </c>
      <c r="H336" s="4" t="s">
        <v>191</v>
      </c>
      <c r="I336" s="4" t="s">
        <v>1402</v>
      </c>
      <c r="J336" s="4" t="s">
        <v>38</v>
      </c>
      <c r="K336" s="4" t="s">
        <v>25</v>
      </c>
      <c r="M336" s="6" t="str">
        <f>HYPERLINK("http://maps.google.com/maps?f=q&amp;hl=en&amp;geocode=&amp;q=-28.54116,153.54739")</f>
        <v>http://maps.google.com/maps?f=q&amp;hl=en&amp;geocode=&amp;q=-28.54116,153.54739</v>
      </c>
    </row>
    <row r="337" spans="1:13" ht="60" x14ac:dyDescent="0.25">
      <c r="A337" s="4" t="s">
        <v>1396</v>
      </c>
      <c r="B337" s="4" t="s">
        <v>22</v>
      </c>
      <c r="C337" s="4" t="s">
        <v>14</v>
      </c>
      <c r="D337" s="4" t="s">
        <v>15</v>
      </c>
      <c r="F337" s="5">
        <v>19</v>
      </c>
      <c r="G337" s="4" t="s">
        <v>1397</v>
      </c>
      <c r="H337" s="4" t="s">
        <v>110</v>
      </c>
      <c r="I337" s="4" t="s">
        <v>1398</v>
      </c>
      <c r="J337" s="4" t="s">
        <v>19</v>
      </c>
      <c r="K337" s="4" t="s">
        <v>18</v>
      </c>
      <c r="L337" s="4" t="s">
        <v>1399</v>
      </c>
      <c r="M337" s="6" t="str">
        <f>HYPERLINK("http://maps.google.com/maps?f=q&amp;hl=en&amp;geocode=&amp;q=-28.33047,153.38892")</f>
        <v>http://maps.google.com/maps?f=q&amp;hl=en&amp;geocode=&amp;q=-28.33047,153.38892</v>
      </c>
    </row>
    <row r="338" spans="1:13" ht="60" x14ac:dyDescent="0.25">
      <c r="A338" s="4" t="s">
        <v>1393</v>
      </c>
      <c r="B338" s="4" t="s">
        <v>69</v>
      </c>
      <c r="C338" s="4" t="s">
        <v>14</v>
      </c>
      <c r="D338" s="4" t="s">
        <v>15</v>
      </c>
      <c r="F338" s="5">
        <v>19</v>
      </c>
      <c r="G338" s="4" t="s">
        <v>748</v>
      </c>
      <c r="H338" s="4" t="s">
        <v>1394</v>
      </c>
      <c r="J338" s="4" t="s">
        <v>19</v>
      </c>
      <c r="K338" s="4" t="s">
        <v>18</v>
      </c>
      <c r="L338" s="4" t="s">
        <v>1395</v>
      </c>
      <c r="M338" s="6" t="str">
        <f>HYPERLINK("http://maps.google.com/maps?f=q&amp;hl=en&amp;geocode=&amp;q=-29.63163,153.02672")</f>
        <v>http://maps.google.com/maps?f=q&amp;hl=en&amp;geocode=&amp;q=-29.63163,153.02672</v>
      </c>
    </row>
    <row r="339" spans="1:13" ht="60" x14ac:dyDescent="0.25">
      <c r="A339" s="4" t="s">
        <v>1390</v>
      </c>
      <c r="B339" s="4" t="s">
        <v>22</v>
      </c>
      <c r="C339" s="4" t="s">
        <v>70</v>
      </c>
      <c r="D339" s="4" t="s">
        <v>41</v>
      </c>
      <c r="F339" s="5">
        <v>61</v>
      </c>
      <c r="G339" s="4" t="s">
        <v>1391</v>
      </c>
      <c r="H339" s="4" t="s">
        <v>24</v>
      </c>
      <c r="I339" s="4" t="s">
        <v>65</v>
      </c>
      <c r="J339" s="4" t="s">
        <v>31</v>
      </c>
      <c r="K339" s="4" t="s">
        <v>18</v>
      </c>
      <c r="L339" s="4" t="s">
        <v>1392</v>
      </c>
      <c r="M339" s="6" t="str">
        <f>HYPERLINK("http://maps.google.com/maps?f=q&amp;hl=en&amp;geocode=&amp;q=-28.3281,153.56216")</f>
        <v>http://maps.google.com/maps?f=q&amp;hl=en&amp;geocode=&amp;q=-28.3281,153.56216</v>
      </c>
    </row>
    <row r="340" spans="1:13" ht="60" x14ac:dyDescent="0.25">
      <c r="A340" s="4" t="s">
        <v>1386</v>
      </c>
      <c r="B340" s="4" t="s">
        <v>34</v>
      </c>
      <c r="C340" s="4" t="s">
        <v>70</v>
      </c>
      <c r="D340" s="4" t="s">
        <v>15</v>
      </c>
      <c r="F340" s="5" t="s">
        <v>1387</v>
      </c>
      <c r="G340" s="4" t="s">
        <v>1388</v>
      </c>
      <c r="H340" s="4" t="s">
        <v>132</v>
      </c>
      <c r="I340" s="4" t="s">
        <v>1389</v>
      </c>
      <c r="J340" s="4" t="s">
        <v>25</v>
      </c>
      <c r="K340" s="4" t="s">
        <v>19</v>
      </c>
      <c r="L340" s="4" t="s">
        <v>18</v>
      </c>
      <c r="M340" s="6" t="str">
        <f>HYPERLINK("http://maps.google.com/maps?f=q&amp;hl=en&amp;geocode=&amp;q=-28.82475,153.29817")</f>
        <v>http://maps.google.com/maps?f=q&amp;hl=en&amp;geocode=&amp;q=-28.82475,153.29817</v>
      </c>
    </row>
    <row r="341" spans="1:13" ht="60" x14ac:dyDescent="0.25">
      <c r="A341" s="4" t="s">
        <v>1382</v>
      </c>
      <c r="B341" s="4" t="s">
        <v>22</v>
      </c>
      <c r="C341" s="4" t="s">
        <v>14</v>
      </c>
      <c r="D341" s="4" t="s">
        <v>15</v>
      </c>
      <c r="F341" s="5">
        <v>11</v>
      </c>
      <c r="G341" s="4" t="s">
        <v>1383</v>
      </c>
      <c r="H341" s="4" t="s">
        <v>296</v>
      </c>
      <c r="I341" s="4" t="s">
        <v>1384</v>
      </c>
      <c r="J341" s="4" t="s">
        <v>19</v>
      </c>
      <c r="K341" s="4" t="s">
        <v>251</v>
      </c>
      <c r="L341" s="4" t="s">
        <v>1385</v>
      </c>
      <c r="M341" s="6" t="str">
        <f>HYPERLINK("http://maps.google.com/maps?f=q&amp;hl=en&amp;geocode=&amp;q=-28.25655,153.56532")</f>
        <v>http://maps.google.com/maps?f=q&amp;hl=en&amp;geocode=&amp;q=-28.25655,153.56532</v>
      </c>
    </row>
    <row r="342" spans="1:13" ht="60" x14ac:dyDescent="0.25">
      <c r="A342" s="4" t="s">
        <v>1379</v>
      </c>
      <c r="B342" s="4" t="s">
        <v>28</v>
      </c>
      <c r="C342" s="4" t="s">
        <v>70</v>
      </c>
      <c r="D342" s="4" t="s">
        <v>15</v>
      </c>
      <c r="F342" s="5">
        <v>38</v>
      </c>
      <c r="G342" s="4" t="s">
        <v>1380</v>
      </c>
      <c r="H342" s="4" t="s">
        <v>1381</v>
      </c>
      <c r="I342" s="4" t="s">
        <v>38</v>
      </c>
      <c r="J342" s="4" t="s">
        <v>74</v>
      </c>
      <c r="K342" s="4" t="s">
        <v>19</v>
      </c>
      <c r="M342" s="6" t="str">
        <f>HYPERLINK("http://maps.google.com/maps?f=q&amp;hl=en&amp;geocode=&amp;q=-28.86659,153.56062")</f>
        <v>http://maps.google.com/maps?f=q&amp;hl=en&amp;geocode=&amp;q=-28.86659,153.56062</v>
      </c>
    </row>
    <row r="343" spans="1:13" ht="60" x14ac:dyDescent="0.25">
      <c r="A343" s="4" t="s">
        <v>1375</v>
      </c>
      <c r="B343" s="4" t="s">
        <v>13</v>
      </c>
      <c r="C343" s="4" t="s">
        <v>70</v>
      </c>
      <c r="D343" s="4" t="s">
        <v>15</v>
      </c>
      <c r="F343" s="5">
        <v>116</v>
      </c>
      <c r="G343" s="4" t="s">
        <v>1376</v>
      </c>
      <c r="H343" s="4" t="s">
        <v>218</v>
      </c>
      <c r="I343" s="4" t="s">
        <v>1377</v>
      </c>
      <c r="J343" s="4" t="s">
        <v>25</v>
      </c>
      <c r="K343" s="4" t="s">
        <v>145</v>
      </c>
      <c r="L343" s="4" t="s">
        <v>1378</v>
      </c>
      <c r="M343" s="6" t="str">
        <f>HYPERLINK("http://maps.google.com/maps?f=q&amp;hl=en&amp;geocode=&amp;q=-28.87064,153.0549")</f>
        <v>http://maps.google.com/maps?f=q&amp;hl=en&amp;geocode=&amp;q=-28.87064,153.0549</v>
      </c>
    </row>
    <row r="344" spans="1:13" ht="60" x14ac:dyDescent="0.25">
      <c r="A344" s="4" t="s">
        <v>1372</v>
      </c>
      <c r="B344" s="4" t="s">
        <v>13</v>
      </c>
      <c r="C344" s="4" t="s">
        <v>14</v>
      </c>
      <c r="D344" s="4" t="s">
        <v>15</v>
      </c>
      <c r="F344" s="5">
        <v>3</v>
      </c>
      <c r="G344" s="4" t="s">
        <v>1373</v>
      </c>
      <c r="H344" s="4" t="s">
        <v>218</v>
      </c>
      <c r="I344" s="4" t="s">
        <v>1374</v>
      </c>
      <c r="J344" s="4" t="s">
        <v>19</v>
      </c>
      <c r="M344" s="6" t="str">
        <f>HYPERLINK("http://maps.google.com/maps?f=q&amp;hl=en&amp;geocode=&amp;q=-28.85032,153.04209")</f>
        <v>http://maps.google.com/maps?f=q&amp;hl=en&amp;geocode=&amp;q=-28.85032,153.04209</v>
      </c>
    </row>
    <row r="345" spans="1:13" ht="60" x14ac:dyDescent="0.25">
      <c r="A345" s="4" t="s">
        <v>1368</v>
      </c>
      <c r="B345" s="4" t="s">
        <v>22</v>
      </c>
      <c r="C345" s="4" t="s">
        <v>14</v>
      </c>
      <c r="D345" s="4" t="s">
        <v>41</v>
      </c>
      <c r="F345" s="5">
        <v>13</v>
      </c>
      <c r="G345" s="4" t="s">
        <v>1369</v>
      </c>
      <c r="H345" s="4" t="s">
        <v>521</v>
      </c>
      <c r="I345" s="4" t="s">
        <v>1370</v>
      </c>
      <c r="J345" s="4" t="s">
        <v>38</v>
      </c>
      <c r="K345" s="4" t="s">
        <v>19</v>
      </c>
      <c r="L345" s="4" t="s">
        <v>1371</v>
      </c>
      <c r="M345" s="6" t="str">
        <f>HYPERLINK("http://maps.google.com/maps?f=q&amp;hl=en&amp;geocode=&amp;q=-28.20794,153.52117")</f>
        <v>http://maps.google.com/maps?f=q&amp;hl=en&amp;geocode=&amp;q=-28.20794,153.52117</v>
      </c>
    </row>
    <row r="346" spans="1:13" ht="60" x14ac:dyDescent="0.25">
      <c r="A346" s="4" t="s">
        <v>1364</v>
      </c>
      <c r="B346" s="4" t="s">
        <v>82</v>
      </c>
      <c r="C346" s="4" t="s">
        <v>14</v>
      </c>
      <c r="D346" s="4" t="s">
        <v>15</v>
      </c>
      <c r="F346" s="5">
        <v>14</v>
      </c>
      <c r="G346" s="4" t="s">
        <v>1365</v>
      </c>
      <c r="H346" s="4" t="s">
        <v>84</v>
      </c>
      <c r="I346" s="4" t="s">
        <v>1366</v>
      </c>
      <c r="J346" s="4" t="s">
        <v>18</v>
      </c>
      <c r="K346" s="4" t="s">
        <v>31</v>
      </c>
      <c r="L346" s="4" t="s">
        <v>1367</v>
      </c>
      <c r="M346" s="6" t="str">
        <f>HYPERLINK("http://maps.google.com/maps?f=q&amp;hl=en&amp;geocode=&amp;q=-28.64819,153.61385")</f>
        <v>http://maps.google.com/maps?f=q&amp;hl=en&amp;geocode=&amp;q=-28.64819,153.61385</v>
      </c>
    </row>
    <row r="347" spans="1:13" ht="60" x14ac:dyDescent="0.25">
      <c r="A347" s="4" t="s">
        <v>1361</v>
      </c>
      <c r="B347" s="4" t="s">
        <v>34</v>
      </c>
      <c r="C347" s="4" t="s">
        <v>70</v>
      </c>
      <c r="D347" s="4" t="s">
        <v>41</v>
      </c>
      <c r="F347" s="5">
        <v>24</v>
      </c>
      <c r="G347" s="4" t="s">
        <v>1362</v>
      </c>
      <c r="H347" s="4" t="s">
        <v>132</v>
      </c>
      <c r="I347" s="4" t="s">
        <v>1363</v>
      </c>
      <c r="J347" s="4" t="s">
        <v>18</v>
      </c>
      <c r="K347" s="4" t="s">
        <v>44</v>
      </c>
      <c r="M347" s="6" t="str">
        <f>HYPERLINK("http://maps.google.com/maps?f=q&amp;hl=en&amp;geocode=&amp;q=-28.82856,153.29008")</f>
        <v>http://maps.google.com/maps?f=q&amp;hl=en&amp;geocode=&amp;q=-28.82856,153.29008</v>
      </c>
    </row>
    <row r="348" spans="1:13" ht="60" x14ac:dyDescent="0.25">
      <c r="A348" s="4" t="s">
        <v>1358</v>
      </c>
      <c r="B348" s="4" t="s">
        <v>69</v>
      </c>
      <c r="C348" s="4" t="s">
        <v>70</v>
      </c>
      <c r="D348" s="4" t="s">
        <v>15</v>
      </c>
      <c r="F348" s="5">
        <v>14</v>
      </c>
      <c r="G348" s="4" t="s">
        <v>1359</v>
      </c>
      <c r="H348" s="4" t="s">
        <v>143</v>
      </c>
      <c r="J348" s="4" t="s">
        <v>25</v>
      </c>
      <c r="K348" s="4" t="s">
        <v>44</v>
      </c>
      <c r="L348" s="4" t="s">
        <v>1360</v>
      </c>
      <c r="M348" s="6" t="str">
        <f>HYPERLINK("http://maps.google.com/maps?f=q&amp;hl=en&amp;geocode=&amp;q=-29.48921,153.22893")</f>
        <v>http://maps.google.com/maps?f=q&amp;hl=en&amp;geocode=&amp;q=-29.48921,153.22893</v>
      </c>
    </row>
    <row r="349" spans="1:13" ht="75" x14ac:dyDescent="0.25">
      <c r="A349" s="4" t="s">
        <v>1355</v>
      </c>
      <c r="B349" s="4" t="s">
        <v>22</v>
      </c>
      <c r="C349" s="4" t="s">
        <v>14</v>
      </c>
      <c r="D349" s="4" t="s">
        <v>15</v>
      </c>
      <c r="F349" s="5">
        <v>4</v>
      </c>
      <c r="G349" s="4" t="s">
        <v>1356</v>
      </c>
      <c r="H349" s="4" t="s">
        <v>296</v>
      </c>
      <c r="I349" s="4" t="s">
        <v>1357</v>
      </c>
      <c r="J349" s="4" t="s">
        <v>49</v>
      </c>
      <c r="K349" s="4" t="s">
        <v>31</v>
      </c>
      <c r="M349" s="6" t="str">
        <f>HYPERLINK("http://maps.google.com/maps?f=q&amp;hl=en&amp;geocode=&amp;q=-28.27152,153.5765199")</f>
        <v>http://maps.google.com/maps?f=q&amp;hl=en&amp;geocode=&amp;q=-28.27152,153.5765199</v>
      </c>
    </row>
    <row r="350" spans="1:13" ht="60" x14ac:dyDescent="0.25">
      <c r="A350" s="4" t="s">
        <v>1353</v>
      </c>
      <c r="B350" s="4" t="s">
        <v>22</v>
      </c>
      <c r="C350" s="4" t="s">
        <v>14</v>
      </c>
      <c r="D350" s="4" t="s">
        <v>41</v>
      </c>
      <c r="F350" s="5">
        <v>17</v>
      </c>
      <c r="G350" s="4" t="s">
        <v>1354</v>
      </c>
      <c r="H350" s="4" t="s">
        <v>296</v>
      </c>
      <c r="J350" s="4" t="s">
        <v>25</v>
      </c>
      <c r="K350" s="4" t="s">
        <v>19</v>
      </c>
      <c r="M350" s="6" t="str">
        <f>HYPERLINK("http://maps.google.com/maps?f=q&amp;hl=en&amp;geocode=&amp;q=-28.26201,153.57666")</f>
        <v>http://maps.google.com/maps?f=q&amp;hl=en&amp;geocode=&amp;q=-28.26201,153.57666</v>
      </c>
    </row>
    <row r="351" spans="1:13" ht="60" x14ac:dyDescent="0.25">
      <c r="A351" s="4" t="s">
        <v>1348</v>
      </c>
      <c r="B351" s="4" t="s">
        <v>82</v>
      </c>
      <c r="C351" s="4" t="s">
        <v>14</v>
      </c>
      <c r="D351" s="4" t="s">
        <v>677</v>
      </c>
      <c r="E351" s="4" t="s">
        <v>1349</v>
      </c>
      <c r="F351" s="5">
        <v>6</v>
      </c>
      <c r="G351" s="4" t="s">
        <v>1350</v>
      </c>
      <c r="H351" s="4" t="s">
        <v>154</v>
      </c>
      <c r="I351" s="4" t="s">
        <v>1351</v>
      </c>
      <c r="J351" s="4" t="s">
        <v>38</v>
      </c>
      <c r="K351" s="4" t="s">
        <v>44</v>
      </c>
      <c r="L351" s="4" t="s">
        <v>1352</v>
      </c>
      <c r="M351" s="6" t="str">
        <f>HYPERLINK("http://maps.google.com/maps?f=q&amp;hl=en&amp;geocode=&amp;q=-28.52206,153.53669")</f>
        <v>http://maps.google.com/maps?f=q&amp;hl=en&amp;geocode=&amp;q=-28.52206,153.53669</v>
      </c>
    </row>
    <row r="352" spans="1:13" ht="75" x14ac:dyDescent="0.25">
      <c r="A352" s="4" t="s">
        <v>1343</v>
      </c>
      <c r="B352" s="4" t="s">
        <v>22</v>
      </c>
      <c r="C352" s="4" t="s">
        <v>70</v>
      </c>
      <c r="D352" s="4" t="s">
        <v>15</v>
      </c>
      <c r="F352" s="5">
        <v>29</v>
      </c>
      <c r="G352" s="4" t="s">
        <v>1344</v>
      </c>
      <c r="H352" s="4" t="s">
        <v>1345</v>
      </c>
      <c r="I352" s="4" t="s">
        <v>1346</v>
      </c>
      <c r="J352" s="4" t="s">
        <v>19</v>
      </c>
      <c r="K352" s="4" t="s">
        <v>25</v>
      </c>
      <c r="L352" s="4" t="s">
        <v>1347</v>
      </c>
      <c r="M352" s="6" t="str">
        <f>HYPERLINK("http://maps.google.com/maps?f=q&amp;hl=en&amp;geocode=&amp;q=46.7604484558105,-97.7892303466797")</f>
        <v>http://maps.google.com/maps?f=q&amp;hl=en&amp;geocode=&amp;q=46.7604484558105,-97.7892303466797</v>
      </c>
    </row>
    <row r="353" spans="1:13" ht="60" x14ac:dyDescent="0.25">
      <c r="A353" s="4" t="s">
        <v>1339</v>
      </c>
      <c r="B353" s="4" t="s">
        <v>22</v>
      </c>
      <c r="C353" s="4" t="s">
        <v>14</v>
      </c>
      <c r="D353" s="4" t="s">
        <v>15</v>
      </c>
      <c r="F353" s="5">
        <v>7</v>
      </c>
      <c r="G353" s="4" t="s">
        <v>1340</v>
      </c>
      <c r="H353" s="4" t="s">
        <v>262</v>
      </c>
      <c r="I353" s="4" t="s">
        <v>1341</v>
      </c>
      <c r="J353" s="4" t="s">
        <v>19</v>
      </c>
      <c r="K353" s="4" t="s">
        <v>25</v>
      </c>
      <c r="L353" s="4" t="s">
        <v>1342</v>
      </c>
      <c r="M353" s="6" t="str">
        <f>HYPERLINK("http://maps.google.com/maps?f=q&amp;hl=en&amp;geocode=&amp;q=-28.34613,153.37777")</f>
        <v>http://maps.google.com/maps?f=q&amp;hl=en&amp;geocode=&amp;q=-28.34613,153.37777</v>
      </c>
    </row>
    <row r="354" spans="1:13" ht="60" x14ac:dyDescent="0.25">
      <c r="A354" s="4" t="s">
        <v>1336</v>
      </c>
      <c r="B354" s="4" t="s">
        <v>28</v>
      </c>
      <c r="C354" s="4" t="s">
        <v>14</v>
      </c>
      <c r="D354" s="4" t="s">
        <v>15</v>
      </c>
      <c r="F354" s="5">
        <v>28</v>
      </c>
      <c r="G354" s="4" t="s">
        <v>1337</v>
      </c>
      <c r="H354" s="4" t="s">
        <v>121</v>
      </c>
      <c r="I354" s="4" t="s">
        <v>1338</v>
      </c>
      <c r="J354" s="4" t="s">
        <v>19</v>
      </c>
      <c r="K354" s="4" t="s">
        <v>18</v>
      </c>
      <c r="M354" s="6" t="str">
        <f>HYPERLINK("http://maps.google.com/maps?f=q&amp;hl=en&amp;geocode=&amp;q=-28.84418,153.43919")</f>
        <v>http://maps.google.com/maps?f=q&amp;hl=en&amp;geocode=&amp;q=-28.84418,153.43919</v>
      </c>
    </row>
    <row r="355" spans="1:13" ht="60" x14ac:dyDescent="0.25">
      <c r="A355" s="4" t="s">
        <v>1332</v>
      </c>
      <c r="B355" s="4" t="s">
        <v>22</v>
      </c>
      <c r="C355" s="4" t="s">
        <v>70</v>
      </c>
      <c r="D355" s="4" t="s">
        <v>15</v>
      </c>
      <c r="F355" s="5">
        <v>8</v>
      </c>
      <c r="G355" s="4" t="s">
        <v>1333</v>
      </c>
      <c r="H355" s="4" t="s">
        <v>296</v>
      </c>
      <c r="I355" s="4" t="s">
        <v>1334</v>
      </c>
      <c r="J355" s="4" t="s">
        <v>49</v>
      </c>
      <c r="K355" s="4" t="s">
        <v>19</v>
      </c>
      <c r="L355" s="4" t="s">
        <v>1335</v>
      </c>
      <c r="M355" s="6" t="str">
        <f>HYPERLINK("http://maps.google.com/maps?f=q&amp;hl=en&amp;geocode=&amp;q=-28.24475,153.56565")</f>
        <v>http://maps.google.com/maps?f=q&amp;hl=en&amp;geocode=&amp;q=-28.24475,153.56565</v>
      </c>
    </row>
    <row r="356" spans="1:13" ht="60" x14ac:dyDescent="0.25">
      <c r="A356" s="4" t="s">
        <v>1329</v>
      </c>
      <c r="B356" s="4" t="s">
        <v>28</v>
      </c>
      <c r="C356" s="4" t="s">
        <v>14</v>
      </c>
      <c r="D356" s="4" t="s">
        <v>15</v>
      </c>
      <c r="F356" s="5">
        <v>15</v>
      </c>
      <c r="G356" s="4" t="s">
        <v>356</v>
      </c>
      <c r="H356" s="4" t="s">
        <v>107</v>
      </c>
      <c r="I356" s="4" t="s">
        <v>1330</v>
      </c>
      <c r="J356" s="4" t="s">
        <v>19</v>
      </c>
      <c r="K356" s="4" t="s">
        <v>18</v>
      </c>
      <c r="L356" s="4" t="s">
        <v>1331</v>
      </c>
      <c r="M356" s="6" t="str">
        <f>HYPERLINK("http://maps.google.com/maps?f=q&amp;hl=en&amp;geocode=&amp;q=-28.86004,153.56841")</f>
        <v>http://maps.google.com/maps?f=q&amp;hl=en&amp;geocode=&amp;q=-28.86004,153.56841</v>
      </c>
    </row>
    <row r="357" spans="1:13" ht="60" x14ac:dyDescent="0.25">
      <c r="A357" s="4" t="s">
        <v>1325</v>
      </c>
      <c r="B357" s="4" t="s">
        <v>13</v>
      </c>
      <c r="C357" s="4" t="s">
        <v>14</v>
      </c>
      <c r="D357" s="4" t="s">
        <v>15</v>
      </c>
      <c r="F357" s="5">
        <v>1</v>
      </c>
      <c r="G357" s="4" t="s">
        <v>1326</v>
      </c>
      <c r="H357" s="4" t="s">
        <v>1327</v>
      </c>
      <c r="I357" s="4" t="s">
        <v>1328</v>
      </c>
      <c r="J357" s="4" t="s">
        <v>145</v>
      </c>
      <c r="K357" s="4" t="s">
        <v>18</v>
      </c>
      <c r="M357" s="6" t="str">
        <f>HYPERLINK("http://maps.google.com/maps?f=q&amp;hl=en&amp;geocode=&amp;q=-28.79275,152.99323")</f>
        <v>http://maps.google.com/maps?f=q&amp;hl=en&amp;geocode=&amp;q=-28.79275,152.99323</v>
      </c>
    </row>
    <row r="358" spans="1:13" ht="60" x14ac:dyDescent="0.25">
      <c r="A358" s="4" t="s">
        <v>1321</v>
      </c>
      <c r="B358" s="4" t="s">
        <v>69</v>
      </c>
      <c r="C358" s="4" t="s">
        <v>14</v>
      </c>
      <c r="D358" s="4" t="s">
        <v>41</v>
      </c>
      <c r="F358" s="5">
        <v>12</v>
      </c>
      <c r="G358" s="4" t="s">
        <v>1322</v>
      </c>
      <c r="H358" s="4" t="s">
        <v>72</v>
      </c>
      <c r="I358" s="4" t="s">
        <v>1323</v>
      </c>
      <c r="J358" s="4" t="s">
        <v>25</v>
      </c>
      <c r="K358" s="4" t="s">
        <v>18</v>
      </c>
      <c r="L358" s="4" t="s">
        <v>1324</v>
      </c>
      <c r="M358" s="6" t="str">
        <f>HYPERLINK("http://maps.google.com/maps?f=q&amp;hl=en&amp;geocode=&amp;q=-29.43566,153.3407")</f>
        <v>http://maps.google.com/maps?f=q&amp;hl=en&amp;geocode=&amp;q=-29.43566,153.3407</v>
      </c>
    </row>
    <row r="359" spans="1:13" ht="60" x14ac:dyDescent="0.25">
      <c r="A359" s="4" t="s">
        <v>1319</v>
      </c>
      <c r="B359" s="4" t="s">
        <v>69</v>
      </c>
      <c r="C359" s="4" t="s">
        <v>14</v>
      </c>
      <c r="D359" s="4" t="s">
        <v>15</v>
      </c>
      <c r="F359" s="5">
        <v>56</v>
      </c>
      <c r="G359" s="4" t="s">
        <v>1320</v>
      </c>
      <c r="H359" s="4" t="s">
        <v>203</v>
      </c>
      <c r="J359" s="4" t="s">
        <v>44</v>
      </c>
      <c r="K359" s="4" t="s">
        <v>19</v>
      </c>
      <c r="M359" s="6" t="str">
        <f>HYPERLINK("http://maps.google.com/maps?f=q&amp;hl=en&amp;geocode=&amp;q=-29.41015,153.3573")</f>
        <v>http://maps.google.com/maps?f=q&amp;hl=en&amp;geocode=&amp;q=-29.41015,153.3573</v>
      </c>
    </row>
    <row r="360" spans="1:13" ht="60" x14ac:dyDescent="0.25">
      <c r="A360" s="4" t="s">
        <v>1315</v>
      </c>
      <c r="B360" s="4" t="s">
        <v>82</v>
      </c>
      <c r="C360" s="4" t="s">
        <v>14</v>
      </c>
      <c r="D360" s="4" t="s">
        <v>15</v>
      </c>
      <c r="F360" s="5">
        <v>20</v>
      </c>
      <c r="G360" s="4" t="s">
        <v>1316</v>
      </c>
      <c r="H360" s="4" t="s">
        <v>631</v>
      </c>
      <c r="I360" s="4" t="s">
        <v>1317</v>
      </c>
      <c r="J360" s="4" t="s">
        <v>31</v>
      </c>
      <c r="K360" s="4" t="s">
        <v>145</v>
      </c>
      <c r="L360" s="4" t="s">
        <v>1318</v>
      </c>
      <c r="M360" s="6" t="str">
        <f>HYPERLINK("http://maps.google.com/maps?f=q&amp;hl=en&amp;geocode=&amp;q=-28.68889,153.51462")</f>
        <v>http://maps.google.com/maps?f=q&amp;hl=en&amp;geocode=&amp;q=-28.68889,153.51462</v>
      </c>
    </row>
    <row r="361" spans="1:13" ht="60" x14ac:dyDescent="0.25">
      <c r="A361" s="4" t="s">
        <v>1312</v>
      </c>
      <c r="B361" s="4" t="s">
        <v>22</v>
      </c>
      <c r="C361" s="4" t="s">
        <v>14</v>
      </c>
      <c r="D361" s="4" t="s">
        <v>15</v>
      </c>
      <c r="F361" s="5">
        <v>3</v>
      </c>
      <c r="G361" s="4" t="s">
        <v>1313</v>
      </c>
      <c r="H361" s="4" t="s">
        <v>909</v>
      </c>
      <c r="J361" s="4" t="s">
        <v>25</v>
      </c>
      <c r="K361" s="4" t="s">
        <v>31</v>
      </c>
      <c r="L361" s="4" t="s">
        <v>1314</v>
      </c>
      <c r="M361" s="6" t="str">
        <f>HYPERLINK("http://maps.google.com/maps?f=q&amp;hl=en&amp;geocode=&amp;q=-28.23948,153.49288")</f>
        <v>http://maps.google.com/maps?f=q&amp;hl=en&amp;geocode=&amp;q=-28.23948,153.49288</v>
      </c>
    </row>
    <row r="362" spans="1:13" ht="60" x14ac:dyDescent="0.25">
      <c r="A362" s="4" t="s">
        <v>1309</v>
      </c>
      <c r="B362" s="4" t="s">
        <v>82</v>
      </c>
      <c r="C362" s="4" t="s">
        <v>14</v>
      </c>
      <c r="D362" s="4" t="s">
        <v>41</v>
      </c>
      <c r="F362" s="5">
        <v>17</v>
      </c>
      <c r="G362" s="4" t="s">
        <v>1310</v>
      </c>
      <c r="H362" s="4" t="s">
        <v>154</v>
      </c>
      <c r="J362" s="4" t="s">
        <v>25</v>
      </c>
      <c r="K362" s="4" t="s">
        <v>31</v>
      </c>
      <c r="L362" s="4" t="s">
        <v>1311</v>
      </c>
      <c r="M362" s="6" t="str">
        <f>HYPERLINK("http://maps.google.com/maps?f=q&amp;hl=en&amp;geocode=&amp;q=-28.50468,153.53124")</f>
        <v>http://maps.google.com/maps?f=q&amp;hl=en&amp;geocode=&amp;q=-28.50468,153.53124</v>
      </c>
    </row>
    <row r="363" spans="1:13" ht="60" x14ac:dyDescent="0.25">
      <c r="A363" s="4" t="s">
        <v>1305</v>
      </c>
      <c r="B363" s="4" t="s">
        <v>22</v>
      </c>
      <c r="C363" s="4" t="s">
        <v>70</v>
      </c>
      <c r="D363" s="4" t="s">
        <v>15</v>
      </c>
      <c r="F363" s="5">
        <v>8</v>
      </c>
      <c r="G363" s="4" t="s">
        <v>1306</v>
      </c>
      <c r="H363" s="4" t="s">
        <v>521</v>
      </c>
      <c r="I363" s="4" t="s">
        <v>1307</v>
      </c>
      <c r="J363" s="4" t="s">
        <v>66</v>
      </c>
      <c r="K363" s="4" t="s">
        <v>57</v>
      </c>
      <c r="L363" s="4" t="s">
        <v>1308</v>
      </c>
      <c r="M363" s="6" t="str">
        <f>HYPERLINK("http://maps.google.com/maps?f=q&amp;hl=en&amp;geocode=&amp;q=-28.19864,153.52524")</f>
        <v>http://maps.google.com/maps?f=q&amp;hl=en&amp;geocode=&amp;q=-28.19864,153.52524</v>
      </c>
    </row>
    <row r="364" spans="1:13" ht="60" x14ac:dyDescent="0.25">
      <c r="A364" s="4" t="s">
        <v>1303</v>
      </c>
      <c r="B364" s="4" t="s">
        <v>82</v>
      </c>
      <c r="C364" s="4" t="s">
        <v>70</v>
      </c>
      <c r="D364" s="4" t="s">
        <v>335</v>
      </c>
      <c r="F364" s="5" t="s">
        <v>1304</v>
      </c>
      <c r="G364" s="4" t="s">
        <v>98</v>
      </c>
      <c r="H364" s="4" t="s">
        <v>84</v>
      </c>
      <c r="J364" s="4" t="s">
        <v>74</v>
      </c>
      <c r="K364" s="4" t="s">
        <v>19</v>
      </c>
      <c r="M364" s="6" t="str">
        <f>HYPERLINK("http://maps.google.com/maps?f=q&amp;hl=en&amp;geocode=&amp;q=-28.63456,153.5806")</f>
        <v>http://maps.google.com/maps?f=q&amp;hl=en&amp;geocode=&amp;q=-28.63456,153.5806</v>
      </c>
    </row>
    <row r="365" spans="1:13" ht="60" x14ac:dyDescent="0.25">
      <c r="A365" s="4" t="s">
        <v>1299</v>
      </c>
      <c r="B365" s="4" t="s">
        <v>34</v>
      </c>
      <c r="C365" s="4" t="s">
        <v>70</v>
      </c>
      <c r="D365" s="4" t="s">
        <v>15</v>
      </c>
      <c r="F365" s="5">
        <v>38</v>
      </c>
      <c r="G365" s="4" t="s">
        <v>1300</v>
      </c>
      <c r="H365" s="4" t="s">
        <v>245</v>
      </c>
      <c r="I365" s="4" t="s">
        <v>1301</v>
      </c>
      <c r="J365" s="4" t="s">
        <v>31</v>
      </c>
      <c r="K365" s="4" t="s">
        <v>49</v>
      </c>
      <c r="L365" s="4" t="s">
        <v>1302</v>
      </c>
      <c r="M365" s="6" t="str">
        <f>HYPERLINK("http://maps.google.com/maps?f=q&amp;hl=en&amp;geocode=&amp;q=-28.80452,153.28648")</f>
        <v>http://maps.google.com/maps?f=q&amp;hl=en&amp;geocode=&amp;q=-28.80452,153.28648</v>
      </c>
    </row>
    <row r="366" spans="1:13" ht="75" x14ac:dyDescent="0.25">
      <c r="A366" s="4" t="s">
        <v>1296</v>
      </c>
      <c r="B366" s="4" t="s">
        <v>22</v>
      </c>
      <c r="C366" s="4" t="s">
        <v>14</v>
      </c>
      <c r="D366" s="4" t="s">
        <v>15</v>
      </c>
      <c r="F366" s="5">
        <v>15</v>
      </c>
      <c r="G366" s="4" t="s">
        <v>1239</v>
      </c>
      <c r="H366" s="4" t="s">
        <v>703</v>
      </c>
      <c r="I366" s="4" t="s">
        <v>1297</v>
      </c>
      <c r="J366" s="4" t="s">
        <v>18</v>
      </c>
      <c r="L366" s="4" t="s">
        <v>1298</v>
      </c>
      <c r="M366" s="6" t="str">
        <f>HYPERLINK("http://maps.google.com/maps?f=q&amp;hl=en&amp;geocode=&amp;q=44.8727569580078,14.4009809494019")</f>
        <v>http://maps.google.com/maps?f=q&amp;hl=en&amp;geocode=&amp;q=44.8727569580078,14.4009809494019</v>
      </c>
    </row>
    <row r="367" spans="1:13" ht="60" x14ac:dyDescent="0.25">
      <c r="A367" s="4" t="s">
        <v>1293</v>
      </c>
      <c r="B367" s="4" t="s">
        <v>28</v>
      </c>
      <c r="C367" s="4" t="s">
        <v>14</v>
      </c>
      <c r="D367" s="4" t="s">
        <v>15</v>
      </c>
      <c r="F367" s="5" t="s">
        <v>1294</v>
      </c>
      <c r="G367" s="4" t="s">
        <v>1295</v>
      </c>
      <c r="H367" s="4" t="s">
        <v>464</v>
      </c>
      <c r="I367" s="4" t="s">
        <v>170</v>
      </c>
      <c r="J367" s="4" t="s">
        <v>66</v>
      </c>
      <c r="K367" s="4" t="s">
        <v>25</v>
      </c>
      <c r="M367" s="6" t="str">
        <f>HYPERLINK("http://maps.google.com/maps?f=q&amp;hl=en&amp;geocode=&amp;q=-28.85253,153.59807")</f>
        <v>http://maps.google.com/maps?f=q&amp;hl=en&amp;geocode=&amp;q=-28.85253,153.59807</v>
      </c>
    </row>
    <row r="368" spans="1:13" ht="60" x14ac:dyDescent="0.25">
      <c r="A368" s="4" t="s">
        <v>1287</v>
      </c>
      <c r="B368" s="4" t="s">
        <v>22</v>
      </c>
      <c r="C368" s="4" t="s">
        <v>70</v>
      </c>
      <c r="D368" s="4" t="s">
        <v>15</v>
      </c>
      <c r="F368" s="5" t="s">
        <v>1288</v>
      </c>
      <c r="G368" s="4" t="s">
        <v>1289</v>
      </c>
      <c r="H368" s="4" t="s">
        <v>1290</v>
      </c>
      <c r="I368" s="4" t="s">
        <v>1291</v>
      </c>
      <c r="J368" s="4" t="s">
        <v>38</v>
      </c>
      <c r="K368" s="4" t="s">
        <v>19</v>
      </c>
      <c r="L368" s="4" t="s">
        <v>1292</v>
      </c>
      <c r="M368" s="6" t="str">
        <f>HYPERLINK("http://maps.google.com/maps?f=q&amp;hl=en&amp;geocode=&amp;q=-28.17832,153.52371")</f>
        <v>http://maps.google.com/maps?f=q&amp;hl=en&amp;geocode=&amp;q=-28.17832,153.52371</v>
      </c>
    </row>
    <row r="369" spans="1:13" ht="75" x14ac:dyDescent="0.25">
      <c r="A369" s="4" t="s">
        <v>1285</v>
      </c>
      <c r="B369" s="4" t="s">
        <v>28</v>
      </c>
      <c r="C369" s="4" t="s">
        <v>14</v>
      </c>
      <c r="D369" s="4" t="s">
        <v>41</v>
      </c>
      <c r="F369" s="5">
        <v>11</v>
      </c>
      <c r="G369" s="4" t="s">
        <v>1040</v>
      </c>
      <c r="H369" s="4" t="s">
        <v>30</v>
      </c>
      <c r="J369" s="4" t="s">
        <v>57</v>
      </c>
      <c r="K369" s="4" t="s">
        <v>445</v>
      </c>
      <c r="L369" s="4" t="s">
        <v>1286</v>
      </c>
      <c r="M369" s="6" t="str">
        <f>HYPERLINK("http://maps.google.com/maps?f=q&amp;hl=en&amp;geocode=&amp;q=-28.79072,153.5914699")</f>
        <v>http://maps.google.com/maps?f=q&amp;hl=en&amp;geocode=&amp;q=-28.79072,153.5914699</v>
      </c>
    </row>
    <row r="370" spans="1:13" ht="60" x14ac:dyDescent="0.25">
      <c r="A370" s="4" t="s">
        <v>1280</v>
      </c>
      <c r="B370" s="4" t="s">
        <v>28</v>
      </c>
      <c r="C370" s="4" t="s">
        <v>70</v>
      </c>
      <c r="D370" s="4" t="s">
        <v>15</v>
      </c>
      <c r="F370" s="5" t="s">
        <v>1281</v>
      </c>
      <c r="G370" s="4" t="s">
        <v>1282</v>
      </c>
      <c r="H370" s="4" t="s">
        <v>107</v>
      </c>
      <c r="I370" s="4" t="s">
        <v>1283</v>
      </c>
      <c r="J370" s="4" t="s">
        <v>74</v>
      </c>
      <c r="K370" s="4" t="s">
        <v>19</v>
      </c>
      <c r="L370" s="4" t="s">
        <v>1284</v>
      </c>
      <c r="M370" s="6" t="str">
        <f>HYPERLINK("http://maps.google.com/maps?f=q&amp;hl=en&amp;geocode=&amp;q=-28.86431,153.56543")</f>
        <v>http://maps.google.com/maps?f=q&amp;hl=en&amp;geocode=&amp;q=-28.86431,153.56543</v>
      </c>
    </row>
    <row r="371" spans="1:13" ht="60" x14ac:dyDescent="0.25">
      <c r="A371" s="4" t="s">
        <v>1276</v>
      </c>
      <c r="B371" s="4" t="s">
        <v>13</v>
      </c>
      <c r="C371" s="4" t="s">
        <v>14</v>
      </c>
      <c r="D371" s="4" t="s">
        <v>15</v>
      </c>
      <c r="F371" s="5">
        <v>13</v>
      </c>
      <c r="G371" s="4" t="s">
        <v>1277</v>
      </c>
      <c r="H371" s="4" t="s">
        <v>218</v>
      </c>
      <c r="I371" s="4" t="s">
        <v>1278</v>
      </c>
      <c r="J371" s="4" t="s">
        <v>79</v>
      </c>
      <c r="K371" s="4" t="s">
        <v>25</v>
      </c>
      <c r="L371" s="4" t="s">
        <v>1279</v>
      </c>
      <c r="M371" s="6" t="str">
        <f>HYPERLINK("http://maps.google.com/maps?f=q&amp;hl=en&amp;geocode=&amp;q=-28.84159,153.0386")</f>
        <v>http://maps.google.com/maps?f=q&amp;hl=en&amp;geocode=&amp;q=-28.84159,153.0386</v>
      </c>
    </row>
    <row r="372" spans="1:13" ht="60" x14ac:dyDescent="0.25">
      <c r="A372" s="4" t="s">
        <v>1273</v>
      </c>
      <c r="B372" s="4" t="s">
        <v>82</v>
      </c>
      <c r="C372" s="4" t="s">
        <v>14</v>
      </c>
      <c r="D372" s="4" t="s">
        <v>15</v>
      </c>
      <c r="F372" s="5">
        <v>33</v>
      </c>
      <c r="G372" s="4" t="s">
        <v>1274</v>
      </c>
      <c r="H372" s="4" t="s">
        <v>631</v>
      </c>
      <c r="I372" s="4" t="s">
        <v>1275</v>
      </c>
      <c r="J372" s="4" t="s">
        <v>44</v>
      </c>
      <c r="K372" s="4" t="s">
        <v>18</v>
      </c>
      <c r="L372" s="4" t="s">
        <v>337</v>
      </c>
      <c r="M372" s="6" t="str">
        <f>HYPERLINK("http://maps.google.com/maps?f=q&amp;hl=en&amp;geocode=&amp;q=-28.69114,153.51344")</f>
        <v>http://maps.google.com/maps?f=q&amp;hl=en&amp;geocode=&amp;q=-28.69114,153.51344</v>
      </c>
    </row>
    <row r="373" spans="1:13" ht="60" x14ac:dyDescent="0.25">
      <c r="A373" s="4" t="s">
        <v>1270</v>
      </c>
      <c r="B373" s="4" t="s">
        <v>69</v>
      </c>
      <c r="C373" s="4" t="s">
        <v>14</v>
      </c>
      <c r="D373" s="4" t="s">
        <v>15</v>
      </c>
      <c r="F373" s="5">
        <v>9</v>
      </c>
      <c r="G373" s="4" t="s">
        <v>1271</v>
      </c>
      <c r="H373" s="4" t="s">
        <v>517</v>
      </c>
      <c r="I373" s="4" t="s">
        <v>1272</v>
      </c>
      <c r="J373" s="4" t="s">
        <v>19</v>
      </c>
      <c r="K373" s="4" t="s">
        <v>25</v>
      </c>
      <c r="M373" s="6" t="str">
        <f>HYPERLINK("http://maps.google.com/maps?f=q&amp;hl=en&amp;geocode=&amp;q=-29.63929,152.92687")</f>
        <v>http://maps.google.com/maps?f=q&amp;hl=en&amp;geocode=&amp;q=-29.63929,152.92687</v>
      </c>
    </row>
    <row r="374" spans="1:13" ht="60" x14ac:dyDescent="0.25">
      <c r="A374" s="4" t="s">
        <v>1266</v>
      </c>
      <c r="B374" s="4" t="s">
        <v>28</v>
      </c>
      <c r="C374" s="4" t="s">
        <v>14</v>
      </c>
      <c r="D374" s="4" t="s">
        <v>15</v>
      </c>
      <c r="F374" s="5">
        <v>73</v>
      </c>
      <c r="G374" s="4" t="s">
        <v>1267</v>
      </c>
      <c r="H374" s="4" t="s">
        <v>107</v>
      </c>
      <c r="I374" s="4" t="s">
        <v>1268</v>
      </c>
      <c r="J374" s="4" t="s">
        <v>25</v>
      </c>
      <c r="K374" s="4" t="s">
        <v>49</v>
      </c>
      <c r="L374" s="4" t="s">
        <v>1269</v>
      </c>
      <c r="M374" s="6" t="str">
        <f>HYPERLINK("http://maps.google.com/maps?f=q&amp;hl=en&amp;geocode=&amp;q=-28.85744,153.55613")</f>
        <v>http://maps.google.com/maps?f=q&amp;hl=en&amp;geocode=&amp;q=-28.85744,153.55613</v>
      </c>
    </row>
    <row r="375" spans="1:13" ht="60" x14ac:dyDescent="0.25">
      <c r="A375" s="4" t="s">
        <v>1261</v>
      </c>
      <c r="B375" s="4" t="s">
        <v>22</v>
      </c>
      <c r="C375" s="4" t="s">
        <v>14</v>
      </c>
      <c r="D375" s="4" t="s">
        <v>15</v>
      </c>
      <c r="F375" s="5" t="s">
        <v>1262</v>
      </c>
      <c r="G375" s="4" t="s">
        <v>1263</v>
      </c>
      <c r="H375" s="4" t="s">
        <v>165</v>
      </c>
      <c r="I375" s="4" t="s">
        <v>1264</v>
      </c>
      <c r="J375" s="4" t="s">
        <v>145</v>
      </c>
      <c r="K375" s="4" t="s">
        <v>31</v>
      </c>
      <c r="L375" s="4" t="s">
        <v>1265</v>
      </c>
      <c r="M375" s="6" t="str">
        <f>HYPERLINK("http://maps.google.com/maps?f=q&amp;hl=en&amp;geocode=&amp;q=-28.21436,153.5137")</f>
        <v>http://maps.google.com/maps?f=q&amp;hl=en&amp;geocode=&amp;q=-28.21436,153.5137</v>
      </c>
    </row>
    <row r="376" spans="1:13" ht="60" x14ac:dyDescent="0.25">
      <c r="A376" s="4" t="s">
        <v>1258</v>
      </c>
      <c r="B376" s="4" t="s">
        <v>22</v>
      </c>
      <c r="C376" s="4" t="s">
        <v>14</v>
      </c>
      <c r="D376" s="4" t="s">
        <v>15</v>
      </c>
      <c r="F376" s="5" t="s">
        <v>1259</v>
      </c>
      <c r="G376" s="4" t="s">
        <v>1260</v>
      </c>
      <c r="H376" s="4" t="s">
        <v>703</v>
      </c>
      <c r="J376" s="4" t="s">
        <v>25</v>
      </c>
      <c r="K376" s="4" t="s">
        <v>18</v>
      </c>
      <c r="L376" s="4" t="s">
        <v>57</v>
      </c>
      <c r="M376" s="6" t="str">
        <f>HYPERLINK("http://maps.google.com/maps?f=q&amp;hl=en&amp;geocode=&amp;q=-28.40384,153.55876")</f>
        <v>http://maps.google.com/maps?f=q&amp;hl=en&amp;geocode=&amp;q=-28.40384,153.55876</v>
      </c>
    </row>
    <row r="377" spans="1:13" ht="60" x14ac:dyDescent="0.25">
      <c r="A377" s="4" t="s">
        <v>1255</v>
      </c>
      <c r="B377" s="4" t="s">
        <v>22</v>
      </c>
      <c r="C377" s="4" t="s">
        <v>70</v>
      </c>
      <c r="D377" s="4" t="s">
        <v>15</v>
      </c>
      <c r="F377" s="5">
        <v>15</v>
      </c>
      <c r="G377" s="4" t="s">
        <v>1256</v>
      </c>
      <c r="H377" s="4" t="s">
        <v>55</v>
      </c>
      <c r="J377" s="4" t="s">
        <v>19</v>
      </c>
      <c r="K377" s="4" t="s">
        <v>44</v>
      </c>
      <c r="L377" s="4" t="s">
        <v>1257</v>
      </c>
      <c r="M377" s="6" t="str">
        <f>HYPERLINK("http://maps.google.com/maps?f=q&amp;hl=en&amp;geocode=&amp;q=-28.17976,153.54158")</f>
        <v>http://maps.google.com/maps?f=q&amp;hl=en&amp;geocode=&amp;q=-28.17976,153.54158</v>
      </c>
    </row>
    <row r="378" spans="1:13" ht="60" x14ac:dyDescent="0.25">
      <c r="A378" s="4" t="s">
        <v>1252</v>
      </c>
      <c r="B378" s="4" t="s">
        <v>22</v>
      </c>
      <c r="C378" s="4" t="s">
        <v>14</v>
      </c>
      <c r="F378" s="5" t="s">
        <v>1253</v>
      </c>
      <c r="G378" s="4" t="s">
        <v>385</v>
      </c>
      <c r="H378" s="4" t="s">
        <v>703</v>
      </c>
      <c r="I378" s="4" t="s">
        <v>1254</v>
      </c>
      <c r="J378" s="4" t="s">
        <v>25</v>
      </c>
      <c r="K378" s="4" t="s">
        <v>18</v>
      </c>
      <c r="L378" s="4" t="s">
        <v>57</v>
      </c>
      <c r="M378" s="6" t="str">
        <f>HYPERLINK("http://maps.google.com/maps?f=q&amp;hl=en&amp;geocode=&amp;q=-28.40359,153.55622")</f>
        <v>http://maps.google.com/maps?f=q&amp;hl=en&amp;geocode=&amp;q=-28.40359,153.55622</v>
      </c>
    </row>
    <row r="379" spans="1:13" ht="60" x14ac:dyDescent="0.25">
      <c r="A379" s="4" t="s">
        <v>1250</v>
      </c>
      <c r="B379" s="4" t="s">
        <v>69</v>
      </c>
      <c r="C379" s="4" t="s">
        <v>14</v>
      </c>
      <c r="D379" s="4" t="s">
        <v>15</v>
      </c>
      <c r="F379" s="5">
        <v>4</v>
      </c>
      <c r="G379" s="4" t="s">
        <v>381</v>
      </c>
      <c r="H379" s="4" t="s">
        <v>72</v>
      </c>
      <c r="I379" s="4" t="s">
        <v>1251</v>
      </c>
      <c r="J379" s="4" t="s">
        <v>44</v>
      </c>
      <c r="K379" s="4" t="s">
        <v>25</v>
      </c>
      <c r="M379" s="6" t="str">
        <f>HYPERLINK("http://maps.google.com/maps?f=q&amp;hl=en&amp;geocode=&amp;q=-29.43695,153.36331")</f>
        <v>http://maps.google.com/maps?f=q&amp;hl=en&amp;geocode=&amp;q=-29.43695,153.36331</v>
      </c>
    </row>
    <row r="380" spans="1:13" ht="75" x14ac:dyDescent="0.25">
      <c r="A380" s="4" t="s">
        <v>1247</v>
      </c>
      <c r="B380" s="4" t="s">
        <v>28</v>
      </c>
      <c r="C380" s="4" t="s">
        <v>14</v>
      </c>
      <c r="F380" s="5">
        <v>5</v>
      </c>
      <c r="G380" s="4" t="s">
        <v>1248</v>
      </c>
      <c r="H380" s="4" t="s">
        <v>30</v>
      </c>
      <c r="I380" s="4" t="s">
        <v>981</v>
      </c>
      <c r="J380" s="4" t="s">
        <v>25</v>
      </c>
      <c r="K380" s="4" t="s">
        <v>19</v>
      </c>
      <c r="L380" s="4" t="s">
        <v>1249</v>
      </c>
      <c r="M380" s="6" t="str">
        <f>HYPERLINK("http://maps.google.com/maps?f=q&amp;hl=en&amp;geocode=&amp;q=-28.81443,153.5831399")</f>
        <v>http://maps.google.com/maps?f=q&amp;hl=en&amp;geocode=&amp;q=-28.81443,153.5831399</v>
      </c>
    </row>
    <row r="381" spans="1:13" ht="60" x14ac:dyDescent="0.25">
      <c r="A381" s="4" t="s">
        <v>1244</v>
      </c>
      <c r="B381" s="4" t="s">
        <v>22</v>
      </c>
      <c r="C381" s="4" t="s">
        <v>14</v>
      </c>
      <c r="D381" s="4" t="s">
        <v>15</v>
      </c>
      <c r="F381" s="5">
        <v>34</v>
      </c>
      <c r="G381" s="4" t="s">
        <v>1245</v>
      </c>
      <c r="H381" s="4" t="s">
        <v>110</v>
      </c>
      <c r="J381" s="4" t="s">
        <v>25</v>
      </c>
      <c r="K381" s="4" t="s">
        <v>44</v>
      </c>
      <c r="L381" s="4" t="s">
        <v>1246</v>
      </c>
      <c r="M381" s="6" t="str">
        <f>HYPERLINK("http://maps.google.com/maps?f=q&amp;hl=en&amp;geocode=&amp;q=-28.34155,153.3613")</f>
        <v>http://maps.google.com/maps?f=q&amp;hl=en&amp;geocode=&amp;q=-28.34155,153.3613</v>
      </c>
    </row>
    <row r="382" spans="1:13" ht="60" x14ac:dyDescent="0.25">
      <c r="A382" s="4" t="s">
        <v>1242</v>
      </c>
      <c r="B382" s="4" t="s">
        <v>82</v>
      </c>
      <c r="C382" s="4" t="s">
        <v>14</v>
      </c>
      <c r="D382" s="4" t="s">
        <v>41</v>
      </c>
      <c r="F382" s="5">
        <v>1</v>
      </c>
      <c r="G382" s="4" t="s">
        <v>1243</v>
      </c>
      <c r="H382" s="4" t="s">
        <v>154</v>
      </c>
      <c r="J382" s="4" t="s">
        <v>31</v>
      </c>
      <c r="K382" s="4" t="s">
        <v>19</v>
      </c>
      <c r="M382" s="6" t="str">
        <f>HYPERLINK("http://maps.google.com/maps?f=q&amp;hl=en&amp;geocode=&amp;q=-28.51059,153.53407")</f>
        <v>http://maps.google.com/maps?f=q&amp;hl=en&amp;geocode=&amp;q=-28.51059,153.53407</v>
      </c>
    </row>
    <row r="383" spans="1:13" ht="60" x14ac:dyDescent="0.25">
      <c r="A383" s="4" t="s">
        <v>1237</v>
      </c>
      <c r="B383" s="4" t="s">
        <v>22</v>
      </c>
      <c r="C383" s="4" t="s">
        <v>14</v>
      </c>
      <c r="D383" s="4" t="s">
        <v>41</v>
      </c>
      <c r="F383" s="5" t="s">
        <v>1238</v>
      </c>
      <c r="G383" s="4" t="s">
        <v>1239</v>
      </c>
      <c r="H383" s="4" t="s">
        <v>703</v>
      </c>
      <c r="I383" s="4" t="s">
        <v>1240</v>
      </c>
      <c r="J383" s="4" t="s">
        <v>25</v>
      </c>
      <c r="K383" s="4" t="s">
        <v>18</v>
      </c>
      <c r="L383" s="4" t="s">
        <v>1241</v>
      </c>
      <c r="M383" s="6" t="str">
        <f>HYPERLINK("http://maps.google.com/maps?f=q&amp;hl=en&amp;geocode=&amp;q=-28.40738,153.55801")</f>
        <v>http://maps.google.com/maps?f=q&amp;hl=en&amp;geocode=&amp;q=-28.40738,153.55801</v>
      </c>
    </row>
    <row r="384" spans="1:13" ht="60" x14ac:dyDescent="0.25">
      <c r="A384" s="4" t="s">
        <v>1234</v>
      </c>
      <c r="B384" s="4" t="s">
        <v>28</v>
      </c>
      <c r="C384" s="4" t="s">
        <v>14</v>
      </c>
      <c r="D384" s="4" t="s">
        <v>15</v>
      </c>
      <c r="F384" s="5">
        <v>71</v>
      </c>
      <c r="G384" s="4" t="s">
        <v>409</v>
      </c>
      <c r="H384" s="4" t="s">
        <v>30</v>
      </c>
      <c r="I384" s="4" t="s">
        <v>1235</v>
      </c>
      <c r="J384" s="4" t="s">
        <v>25</v>
      </c>
      <c r="K384" s="4" t="s">
        <v>19</v>
      </c>
      <c r="L384" s="4" t="s">
        <v>1236</v>
      </c>
      <c r="M384" s="6" t="str">
        <f>HYPERLINK("http://maps.google.com/maps?f=q&amp;hl=en&amp;geocode=&amp;q=-28.81182,153.58169")</f>
        <v>http://maps.google.com/maps?f=q&amp;hl=en&amp;geocode=&amp;q=-28.81182,153.58169</v>
      </c>
    </row>
    <row r="385" spans="1:13" ht="60" x14ac:dyDescent="0.25">
      <c r="A385" s="4" t="s">
        <v>1230</v>
      </c>
      <c r="B385" s="4" t="s">
        <v>22</v>
      </c>
      <c r="C385" s="4" t="s">
        <v>14</v>
      </c>
      <c r="D385" s="4" t="s">
        <v>15</v>
      </c>
      <c r="F385" s="5" t="s">
        <v>1231</v>
      </c>
      <c r="G385" s="4" t="s">
        <v>1232</v>
      </c>
      <c r="H385" s="4" t="s">
        <v>165</v>
      </c>
      <c r="I385" s="4" t="s">
        <v>1233</v>
      </c>
      <c r="J385" s="4" t="s">
        <v>25</v>
      </c>
      <c r="K385" s="4" t="s">
        <v>224</v>
      </c>
      <c r="M385" s="6" t="str">
        <f>HYPERLINK("http://maps.google.com/maps?f=q&amp;hl=en&amp;geocode=&amp;q=-28.22554,153.52822")</f>
        <v>http://maps.google.com/maps?f=q&amp;hl=en&amp;geocode=&amp;q=-28.22554,153.52822</v>
      </c>
    </row>
    <row r="386" spans="1:13" ht="60" x14ac:dyDescent="0.25">
      <c r="A386" s="4" t="s">
        <v>1226</v>
      </c>
      <c r="B386" s="4" t="s">
        <v>13</v>
      </c>
      <c r="C386" s="4" t="s">
        <v>14</v>
      </c>
      <c r="D386" s="4" t="s">
        <v>15</v>
      </c>
      <c r="F386" s="5">
        <v>133</v>
      </c>
      <c r="G386" s="4" t="s">
        <v>1227</v>
      </c>
      <c r="H386" s="4" t="s">
        <v>1124</v>
      </c>
      <c r="I386" s="4" t="s">
        <v>1228</v>
      </c>
      <c r="J386" s="4" t="s">
        <v>224</v>
      </c>
      <c r="K386" s="4" t="s">
        <v>57</v>
      </c>
      <c r="L386" s="4" t="s">
        <v>1229</v>
      </c>
      <c r="M386" s="6" t="str">
        <f>HYPERLINK("http://maps.google.com/maps?f=q&amp;hl=en&amp;geocode=&amp;q=-28.98351,153.28608")</f>
        <v>http://maps.google.com/maps?f=q&amp;hl=en&amp;geocode=&amp;q=-28.98351,153.28608</v>
      </c>
    </row>
    <row r="387" spans="1:13" ht="60" x14ac:dyDescent="0.25">
      <c r="A387" s="4" t="s">
        <v>1221</v>
      </c>
      <c r="B387" s="4" t="s">
        <v>22</v>
      </c>
      <c r="C387" s="4" t="s">
        <v>14</v>
      </c>
      <c r="D387" s="4" t="s">
        <v>15</v>
      </c>
      <c r="F387" s="5">
        <v>475</v>
      </c>
      <c r="G387" s="4" t="s">
        <v>1222</v>
      </c>
      <c r="H387" s="4" t="s">
        <v>1223</v>
      </c>
      <c r="I387" s="4" t="s">
        <v>1224</v>
      </c>
      <c r="J387" s="4" t="s">
        <v>237</v>
      </c>
      <c r="K387" s="4" t="s">
        <v>57</v>
      </c>
      <c r="L387" s="4" t="s">
        <v>1225</v>
      </c>
      <c r="M387" s="6" t="str">
        <f>HYPERLINK("http://maps.google.com/maps?f=q&amp;hl=en&amp;geocode=&amp;q=-28.27036,153.30814")</f>
        <v>http://maps.google.com/maps?f=q&amp;hl=en&amp;geocode=&amp;q=-28.27036,153.30814</v>
      </c>
    </row>
    <row r="388" spans="1:13" ht="60" x14ac:dyDescent="0.25">
      <c r="A388" s="4" t="s">
        <v>1220</v>
      </c>
      <c r="B388" s="4" t="s">
        <v>13</v>
      </c>
      <c r="C388" s="4" t="s">
        <v>70</v>
      </c>
      <c r="D388" s="4" t="s">
        <v>15</v>
      </c>
      <c r="F388" s="5">
        <v>14</v>
      </c>
      <c r="G388" s="4" t="s">
        <v>16</v>
      </c>
      <c r="H388" s="4" t="s">
        <v>17</v>
      </c>
      <c r="J388" s="4" t="s">
        <v>31</v>
      </c>
      <c r="K388" s="4" t="s">
        <v>25</v>
      </c>
      <c r="M388" s="6" t="str">
        <f>HYPERLINK("http://maps.google.com/maps?f=q&amp;hl=en&amp;geocode=&amp;q=-29.11841,153.42965")</f>
        <v>http://maps.google.com/maps?f=q&amp;hl=en&amp;geocode=&amp;q=-29.11841,153.42965</v>
      </c>
    </row>
    <row r="389" spans="1:13" ht="60" x14ac:dyDescent="0.25">
      <c r="A389" s="4" t="s">
        <v>1216</v>
      </c>
      <c r="B389" s="4" t="s">
        <v>28</v>
      </c>
      <c r="C389" s="4" t="s">
        <v>14</v>
      </c>
      <c r="D389" s="4" t="s">
        <v>15</v>
      </c>
      <c r="F389" s="5">
        <v>51</v>
      </c>
      <c r="G389" s="4" t="s">
        <v>1217</v>
      </c>
      <c r="H389" s="4" t="s">
        <v>1218</v>
      </c>
      <c r="I389" s="4" t="s">
        <v>1219</v>
      </c>
      <c r="J389" s="4" t="s">
        <v>25</v>
      </c>
      <c r="K389" s="4" t="s">
        <v>19</v>
      </c>
      <c r="M389" s="6" t="str">
        <f>HYPERLINK("http://maps.google.com/maps?f=q&amp;hl=en&amp;geocode=&amp;q=-28.82976,153.53935")</f>
        <v>http://maps.google.com/maps?f=q&amp;hl=en&amp;geocode=&amp;q=-28.82976,153.53935</v>
      </c>
    </row>
    <row r="390" spans="1:13" ht="60" x14ac:dyDescent="0.25">
      <c r="A390" s="4" t="s">
        <v>1212</v>
      </c>
      <c r="B390" s="4" t="s">
        <v>69</v>
      </c>
      <c r="C390" s="4" t="s">
        <v>70</v>
      </c>
      <c r="D390" s="4" t="s">
        <v>41</v>
      </c>
      <c r="F390" s="5">
        <v>7</v>
      </c>
      <c r="G390" s="4" t="s">
        <v>1213</v>
      </c>
      <c r="H390" s="4" t="s">
        <v>1214</v>
      </c>
      <c r="I390" s="4" t="s">
        <v>1215</v>
      </c>
      <c r="J390" s="4" t="s">
        <v>117</v>
      </c>
      <c r="K390" s="4" t="s">
        <v>19</v>
      </c>
      <c r="L390" s="4" t="s">
        <v>38</v>
      </c>
      <c r="M390" s="6" t="str">
        <f>HYPERLINK("http://maps.google.com/maps?f=q&amp;hl=en&amp;geocode=&amp;q=-29.67072,152.87971")</f>
        <v>http://maps.google.com/maps?f=q&amp;hl=en&amp;geocode=&amp;q=-29.67072,152.87971</v>
      </c>
    </row>
    <row r="391" spans="1:13" ht="60" x14ac:dyDescent="0.25">
      <c r="A391" s="4" t="s">
        <v>1208</v>
      </c>
      <c r="B391" s="4" t="s">
        <v>69</v>
      </c>
      <c r="C391" s="4" t="s">
        <v>14</v>
      </c>
      <c r="D391" s="4" t="s">
        <v>15</v>
      </c>
      <c r="F391" s="5">
        <v>20</v>
      </c>
      <c r="G391" s="4" t="s">
        <v>1209</v>
      </c>
      <c r="H391" s="4" t="s">
        <v>349</v>
      </c>
      <c r="I391" s="4" t="s">
        <v>1210</v>
      </c>
      <c r="J391" s="4" t="s">
        <v>49</v>
      </c>
      <c r="K391" s="4" t="s">
        <v>19</v>
      </c>
      <c r="L391" s="4" t="s">
        <v>1211</v>
      </c>
      <c r="M391" s="6" t="str">
        <f>HYPERLINK("http://maps.google.com/maps?f=q&amp;hl=en&amp;geocode=&amp;q=-29.6728,152.92086")</f>
        <v>http://maps.google.com/maps?f=q&amp;hl=en&amp;geocode=&amp;q=-29.6728,152.92086</v>
      </c>
    </row>
    <row r="392" spans="1:13" ht="75" x14ac:dyDescent="0.25">
      <c r="A392" s="4" t="s">
        <v>1204</v>
      </c>
      <c r="B392" s="4" t="s">
        <v>69</v>
      </c>
      <c r="C392" s="4" t="s">
        <v>14</v>
      </c>
      <c r="D392" s="4" t="s">
        <v>15</v>
      </c>
      <c r="F392" s="5">
        <v>8</v>
      </c>
      <c r="G392" s="4" t="s">
        <v>1205</v>
      </c>
      <c r="H392" s="4" t="s">
        <v>1206</v>
      </c>
      <c r="I392" s="4" t="s">
        <v>1207</v>
      </c>
      <c r="J392" s="4" t="s">
        <v>19</v>
      </c>
      <c r="K392" s="4" t="s">
        <v>18</v>
      </c>
      <c r="M392" s="6" t="str">
        <f>HYPERLINK("http://maps.google.com/maps?f=q&amp;hl=en&amp;geocode=&amp;q=42.7870178222656,22.6634387969971")</f>
        <v>http://maps.google.com/maps?f=q&amp;hl=en&amp;geocode=&amp;q=42.7870178222656,22.6634387969971</v>
      </c>
    </row>
    <row r="393" spans="1:13" ht="60" x14ac:dyDescent="0.25">
      <c r="A393" s="4" t="s">
        <v>1202</v>
      </c>
      <c r="B393" s="4" t="s">
        <v>28</v>
      </c>
      <c r="C393" s="4" t="s">
        <v>14</v>
      </c>
      <c r="D393" s="4" t="s">
        <v>41</v>
      </c>
      <c r="F393" s="5">
        <v>10</v>
      </c>
      <c r="G393" s="4" t="s">
        <v>405</v>
      </c>
      <c r="H393" s="4" t="s">
        <v>107</v>
      </c>
      <c r="I393" s="4" t="s">
        <v>1203</v>
      </c>
      <c r="J393" s="4" t="s">
        <v>31</v>
      </c>
      <c r="K393" s="4" t="s">
        <v>19</v>
      </c>
      <c r="M393" s="6" t="str">
        <f>HYPERLINK("http://maps.google.com/maps?f=q&amp;hl=en&amp;geocode=&amp;q=-28.86272,153.56959")</f>
        <v>http://maps.google.com/maps?f=q&amp;hl=en&amp;geocode=&amp;q=-28.86272,153.56959</v>
      </c>
    </row>
    <row r="394" spans="1:13" ht="60" x14ac:dyDescent="0.25">
      <c r="A394" s="4" t="s">
        <v>1198</v>
      </c>
      <c r="B394" s="4" t="s">
        <v>69</v>
      </c>
      <c r="C394" s="4" t="s">
        <v>70</v>
      </c>
      <c r="D394" s="4" t="s">
        <v>15</v>
      </c>
      <c r="F394" s="5">
        <v>24</v>
      </c>
      <c r="G394" s="4" t="s">
        <v>1199</v>
      </c>
      <c r="H394" s="4" t="s">
        <v>72</v>
      </c>
      <c r="I394" s="4" t="s">
        <v>1200</v>
      </c>
      <c r="J394" s="4" t="s">
        <v>117</v>
      </c>
      <c r="K394" s="4" t="s">
        <v>145</v>
      </c>
      <c r="L394" s="4" t="s">
        <v>1201</v>
      </c>
      <c r="M394" s="6" t="str">
        <f>HYPERLINK("http://maps.google.com/maps?f=q&amp;hl=en&amp;geocode=&amp;q=-29.42716,153.32917")</f>
        <v>http://maps.google.com/maps?f=q&amp;hl=en&amp;geocode=&amp;q=-29.42716,153.32917</v>
      </c>
    </row>
    <row r="395" spans="1:13" ht="60" x14ac:dyDescent="0.25">
      <c r="A395" s="4" t="s">
        <v>1194</v>
      </c>
      <c r="B395" s="4" t="s">
        <v>22</v>
      </c>
      <c r="C395" s="4" t="s">
        <v>14</v>
      </c>
      <c r="D395" s="4" t="s">
        <v>15</v>
      </c>
      <c r="F395" s="5">
        <v>20</v>
      </c>
      <c r="G395" s="4" t="s">
        <v>1195</v>
      </c>
      <c r="H395" s="4" t="s">
        <v>296</v>
      </c>
      <c r="I395" s="4" t="s">
        <v>1196</v>
      </c>
      <c r="J395" s="4" t="s">
        <v>31</v>
      </c>
      <c r="K395" s="4" t="s">
        <v>31</v>
      </c>
      <c r="L395" s="4" t="s">
        <v>1197</v>
      </c>
      <c r="M395" s="6" t="str">
        <f>HYPERLINK("http://maps.google.com/maps?f=q&amp;hl=en&amp;geocode=&amp;q=-28.25175,153.56615")</f>
        <v>http://maps.google.com/maps?f=q&amp;hl=en&amp;geocode=&amp;q=-28.25175,153.56615</v>
      </c>
    </row>
    <row r="396" spans="1:13" ht="60" x14ac:dyDescent="0.25">
      <c r="A396" s="4" t="s">
        <v>1192</v>
      </c>
      <c r="B396" s="4" t="s">
        <v>13</v>
      </c>
      <c r="C396" s="4" t="s">
        <v>70</v>
      </c>
      <c r="D396" s="4" t="s">
        <v>15</v>
      </c>
      <c r="F396" s="5">
        <v>64</v>
      </c>
      <c r="G396" s="4" t="s">
        <v>1193</v>
      </c>
      <c r="H396" s="4" t="s">
        <v>218</v>
      </c>
      <c r="J396" s="4" t="s">
        <v>50</v>
      </c>
      <c r="K396" s="4" t="s">
        <v>19</v>
      </c>
      <c r="M396" s="6" t="str">
        <f>HYPERLINK("http://maps.google.com/maps?f=q&amp;hl=en&amp;geocode=&amp;q=-28.84664,153.04042")</f>
        <v>http://maps.google.com/maps?f=q&amp;hl=en&amp;geocode=&amp;q=-28.84664,153.04042</v>
      </c>
    </row>
    <row r="397" spans="1:13" ht="60" x14ac:dyDescent="0.25">
      <c r="A397" s="4" t="s">
        <v>1189</v>
      </c>
      <c r="B397" s="4" t="s">
        <v>22</v>
      </c>
      <c r="C397" s="4" t="s">
        <v>14</v>
      </c>
      <c r="D397" s="4" t="s">
        <v>15</v>
      </c>
      <c r="F397" s="5">
        <v>75</v>
      </c>
      <c r="G397" s="4" t="s">
        <v>1190</v>
      </c>
      <c r="H397" s="4" t="s">
        <v>165</v>
      </c>
      <c r="I397" s="4" t="s">
        <v>1191</v>
      </c>
      <c r="J397" s="4" t="s">
        <v>25</v>
      </c>
      <c r="K397" s="4" t="s">
        <v>19</v>
      </c>
      <c r="M397" s="6" t="str">
        <f>HYPERLINK("http://maps.google.com/maps?f=q&amp;hl=en&amp;geocode=&amp;q=-28.21522,153.5122")</f>
        <v>http://maps.google.com/maps?f=q&amp;hl=en&amp;geocode=&amp;q=-28.21522,153.5122</v>
      </c>
    </row>
    <row r="398" spans="1:13" ht="75" x14ac:dyDescent="0.25">
      <c r="A398" s="4" t="s">
        <v>1185</v>
      </c>
      <c r="B398" s="4" t="s">
        <v>22</v>
      </c>
      <c r="C398" s="4" t="s">
        <v>70</v>
      </c>
      <c r="D398" s="4" t="s">
        <v>15</v>
      </c>
      <c r="F398" s="5">
        <v>23</v>
      </c>
      <c r="G398" s="4" t="s">
        <v>1186</v>
      </c>
      <c r="H398" s="4" t="s">
        <v>165</v>
      </c>
      <c r="I398" s="4" t="s">
        <v>1187</v>
      </c>
      <c r="J398" s="4" t="s">
        <v>19</v>
      </c>
      <c r="K398" s="4" t="s">
        <v>44</v>
      </c>
      <c r="L398" s="4" t="s">
        <v>1188</v>
      </c>
      <c r="M398" s="6" t="str">
        <f>HYPERLINK("http://maps.google.com/maps?f=q&amp;hl=en&amp;geocode=&amp;q=-28.21662,153.5307599")</f>
        <v>http://maps.google.com/maps?f=q&amp;hl=en&amp;geocode=&amp;q=-28.21662,153.5307599</v>
      </c>
    </row>
    <row r="399" spans="1:13" ht="60" x14ac:dyDescent="0.25">
      <c r="A399" s="4" t="s">
        <v>1181</v>
      </c>
      <c r="B399" s="4" t="s">
        <v>22</v>
      </c>
      <c r="C399" s="4" t="s">
        <v>14</v>
      </c>
      <c r="D399" s="4" t="s">
        <v>15</v>
      </c>
      <c r="F399" s="5">
        <v>24</v>
      </c>
      <c r="G399" s="4" t="s">
        <v>1182</v>
      </c>
      <c r="H399" s="4" t="s">
        <v>703</v>
      </c>
      <c r="I399" s="4" t="s">
        <v>1183</v>
      </c>
      <c r="J399" s="4" t="s">
        <v>74</v>
      </c>
      <c r="K399" s="4" t="s">
        <v>19</v>
      </c>
      <c r="L399" s="4" t="s">
        <v>1184</v>
      </c>
      <c r="M399" s="6" t="str">
        <f>HYPERLINK("http://maps.google.com/maps?f=q&amp;hl=en&amp;geocode=&amp;q=-28.38535,153.5488")</f>
        <v>http://maps.google.com/maps?f=q&amp;hl=en&amp;geocode=&amp;q=-28.38535,153.5488</v>
      </c>
    </row>
    <row r="400" spans="1:13" ht="60" x14ac:dyDescent="0.25">
      <c r="A400" s="4" t="s">
        <v>1178</v>
      </c>
      <c r="B400" s="4" t="s">
        <v>13</v>
      </c>
      <c r="C400" s="4" t="s">
        <v>14</v>
      </c>
      <c r="D400" s="4" t="s">
        <v>15</v>
      </c>
      <c r="F400" s="5">
        <v>70</v>
      </c>
      <c r="G400" s="4" t="s">
        <v>606</v>
      </c>
      <c r="H400" s="4" t="s">
        <v>607</v>
      </c>
      <c r="I400" s="4" t="s">
        <v>1179</v>
      </c>
      <c r="J400" s="4" t="s">
        <v>25</v>
      </c>
      <c r="K400" s="4" t="s">
        <v>19</v>
      </c>
      <c r="L400" s="4" t="s">
        <v>1180</v>
      </c>
      <c r="M400" s="6" t="str">
        <f>HYPERLINK("http://maps.google.com/maps?f=q&amp;hl=en&amp;geocode=&amp;q=-28.83487,153.09727")</f>
        <v>http://maps.google.com/maps?f=q&amp;hl=en&amp;geocode=&amp;q=-28.83487,153.09727</v>
      </c>
    </row>
    <row r="401" spans="1:13" ht="60" x14ac:dyDescent="0.25">
      <c r="A401" s="4" t="s">
        <v>1174</v>
      </c>
      <c r="B401" s="4" t="s">
        <v>28</v>
      </c>
      <c r="C401" s="4" t="s">
        <v>14</v>
      </c>
      <c r="D401" s="4" t="s">
        <v>41</v>
      </c>
      <c r="F401" s="5">
        <v>85</v>
      </c>
      <c r="G401" s="4" t="s">
        <v>1175</v>
      </c>
      <c r="H401" s="4" t="s">
        <v>107</v>
      </c>
      <c r="I401" s="4" t="s">
        <v>1176</v>
      </c>
      <c r="J401" s="4" t="s">
        <v>18</v>
      </c>
      <c r="K401" s="4" t="s">
        <v>31</v>
      </c>
      <c r="L401" s="4" t="s">
        <v>1177</v>
      </c>
      <c r="M401" s="6" t="str">
        <f>HYPERLINK("http://maps.google.com/maps?f=q&amp;hl=en&amp;geocode=&amp;q=-28.86474,153.56053")</f>
        <v>http://maps.google.com/maps?f=q&amp;hl=en&amp;geocode=&amp;q=-28.86474,153.56053</v>
      </c>
    </row>
    <row r="402" spans="1:13" ht="60" x14ac:dyDescent="0.25">
      <c r="A402" s="4" t="s">
        <v>1171</v>
      </c>
      <c r="B402" s="4" t="s">
        <v>34</v>
      </c>
      <c r="C402" s="4" t="s">
        <v>14</v>
      </c>
      <c r="D402" s="4" t="s">
        <v>15</v>
      </c>
      <c r="F402" s="5">
        <v>24</v>
      </c>
      <c r="G402" s="4" t="s">
        <v>1172</v>
      </c>
      <c r="H402" s="4" t="s">
        <v>132</v>
      </c>
      <c r="J402" s="4" t="s">
        <v>19</v>
      </c>
      <c r="K402" s="4" t="s">
        <v>25</v>
      </c>
      <c r="L402" s="4" t="s">
        <v>1173</v>
      </c>
      <c r="M402" s="6" t="str">
        <f>HYPERLINK("http://maps.google.com/maps?f=q&amp;hl=en&amp;geocode=&amp;q=-28.82175,153.29013")</f>
        <v>http://maps.google.com/maps?f=q&amp;hl=en&amp;geocode=&amp;q=-28.82175,153.29013</v>
      </c>
    </row>
    <row r="403" spans="1:13" ht="60" x14ac:dyDescent="0.25">
      <c r="A403" s="4" t="s">
        <v>1165</v>
      </c>
      <c r="B403" s="4" t="s">
        <v>22</v>
      </c>
      <c r="C403" s="4" t="s">
        <v>70</v>
      </c>
      <c r="D403" s="4" t="s">
        <v>136</v>
      </c>
      <c r="E403" s="4" t="s">
        <v>1166</v>
      </c>
      <c r="F403" s="5" t="s">
        <v>1167</v>
      </c>
      <c r="G403" s="4" t="s">
        <v>1168</v>
      </c>
      <c r="H403" s="4" t="s">
        <v>521</v>
      </c>
      <c r="I403" s="4" t="s">
        <v>1169</v>
      </c>
      <c r="J403" s="4" t="s">
        <v>18</v>
      </c>
      <c r="K403" s="4" t="s">
        <v>19</v>
      </c>
      <c r="L403" s="4" t="s">
        <v>1170</v>
      </c>
      <c r="M403" s="6" t="str">
        <f>HYPERLINK("http://maps.google.com/maps?f=q&amp;hl=en&amp;geocode=&amp;q=-28.20758,153.53458")</f>
        <v>http://maps.google.com/maps?f=q&amp;hl=en&amp;geocode=&amp;q=-28.20758,153.53458</v>
      </c>
    </row>
    <row r="404" spans="1:13" ht="75" x14ac:dyDescent="0.25">
      <c r="A404" s="4" t="s">
        <v>1161</v>
      </c>
      <c r="B404" s="4" t="s">
        <v>13</v>
      </c>
      <c r="C404" s="4" t="s">
        <v>14</v>
      </c>
      <c r="D404" s="4" t="s">
        <v>15</v>
      </c>
      <c r="F404" s="5">
        <v>99</v>
      </c>
      <c r="G404" s="4" t="s">
        <v>1162</v>
      </c>
      <c r="H404" s="4" t="s">
        <v>218</v>
      </c>
      <c r="I404" s="4" t="s">
        <v>1163</v>
      </c>
      <c r="J404" s="4" t="s">
        <v>57</v>
      </c>
      <c r="K404" s="4" t="s">
        <v>25</v>
      </c>
      <c r="L404" s="4" t="s">
        <v>1164</v>
      </c>
      <c r="M404" s="6" t="str">
        <f>HYPERLINK("http://maps.google.com/maps?f=q&amp;hl=en&amp;geocode=&amp;q=51.2759704589844,1.07561004161835")</f>
        <v>http://maps.google.com/maps?f=q&amp;hl=en&amp;geocode=&amp;q=51.2759704589844,1.07561004161835</v>
      </c>
    </row>
    <row r="405" spans="1:13" ht="60" x14ac:dyDescent="0.25">
      <c r="A405" s="4" t="s">
        <v>1156</v>
      </c>
      <c r="B405" s="4" t="s">
        <v>34</v>
      </c>
      <c r="C405" s="4" t="s">
        <v>70</v>
      </c>
      <c r="D405" s="4" t="s">
        <v>41</v>
      </c>
      <c r="F405" s="5">
        <v>256</v>
      </c>
      <c r="G405" s="4" t="s">
        <v>1157</v>
      </c>
      <c r="H405" s="4" t="s">
        <v>1158</v>
      </c>
      <c r="I405" s="4" t="s">
        <v>1159</v>
      </c>
      <c r="J405" s="4" t="s">
        <v>237</v>
      </c>
      <c r="K405" s="4" t="s">
        <v>31</v>
      </c>
      <c r="L405" s="4" t="s">
        <v>1160</v>
      </c>
      <c r="M405" s="6" t="str">
        <f>HYPERLINK("http://maps.google.com/maps?f=q&amp;hl=en&amp;geocode=&amp;q=-28.68264,153.16157")</f>
        <v>http://maps.google.com/maps?f=q&amp;hl=en&amp;geocode=&amp;q=-28.68264,153.16157</v>
      </c>
    </row>
    <row r="406" spans="1:13" ht="60" x14ac:dyDescent="0.25">
      <c r="A406" s="4" t="s">
        <v>1151</v>
      </c>
      <c r="B406" s="4" t="s">
        <v>82</v>
      </c>
      <c r="C406" s="4" t="s">
        <v>14</v>
      </c>
      <c r="D406" s="4" t="s">
        <v>15</v>
      </c>
      <c r="F406" s="5">
        <v>131</v>
      </c>
      <c r="G406" s="4" t="s">
        <v>1152</v>
      </c>
      <c r="H406" s="4" t="s">
        <v>1153</v>
      </c>
      <c r="I406" s="4" t="s">
        <v>1154</v>
      </c>
      <c r="J406" s="4" t="s">
        <v>25</v>
      </c>
      <c r="K406" s="4" t="s">
        <v>66</v>
      </c>
      <c r="L406" s="4" t="s">
        <v>1155</v>
      </c>
      <c r="M406" s="6" t="str">
        <f>HYPERLINK("http://maps.google.com/maps?f=q&amp;hl=en&amp;geocode=&amp;q=-28.71032,153.54215")</f>
        <v>http://maps.google.com/maps?f=q&amp;hl=en&amp;geocode=&amp;q=-28.71032,153.54215</v>
      </c>
    </row>
    <row r="407" spans="1:13" ht="60" x14ac:dyDescent="0.25">
      <c r="A407" s="4" t="s">
        <v>1146</v>
      </c>
      <c r="B407" s="4" t="s">
        <v>28</v>
      </c>
      <c r="C407" s="4" t="s">
        <v>14</v>
      </c>
      <c r="D407" s="4" t="s">
        <v>41</v>
      </c>
      <c r="F407" s="5" t="s">
        <v>1147</v>
      </c>
      <c r="G407" s="4" t="s">
        <v>1148</v>
      </c>
      <c r="H407" s="4" t="s">
        <v>292</v>
      </c>
      <c r="I407" s="4" t="s">
        <v>1149</v>
      </c>
      <c r="J407" s="4" t="s">
        <v>19</v>
      </c>
      <c r="K407" s="4" t="s">
        <v>18</v>
      </c>
      <c r="L407" s="4" t="s">
        <v>1150</v>
      </c>
      <c r="M407" s="6" t="str">
        <f>HYPERLINK("http://maps.google.com/maps?f=q&amp;hl=en&amp;geocode=&amp;q=-28.86529,153.53042")</f>
        <v>http://maps.google.com/maps?f=q&amp;hl=en&amp;geocode=&amp;q=-28.86529,153.53042</v>
      </c>
    </row>
    <row r="408" spans="1:13" ht="60" x14ac:dyDescent="0.25">
      <c r="A408" s="4" t="s">
        <v>1141</v>
      </c>
      <c r="B408" s="4" t="s">
        <v>28</v>
      </c>
      <c r="C408" s="4" t="s">
        <v>14</v>
      </c>
      <c r="D408" s="4" t="s">
        <v>1142</v>
      </c>
      <c r="E408" s="4" t="s">
        <v>1143</v>
      </c>
      <c r="F408" s="5">
        <v>48</v>
      </c>
      <c r="G408" s="4" t="s">
        <v>1144</v>
      </c>
      <c r="H408" s="4" t="s">
        <v>107</v>
      </c>
      <c r="J408" s="4" t="s">
        <v>49</v>
      </c>
      <c r="K408" s="4" t="s">
        <v>44</v>
      </c>
      <c r="L408" s="4" t="s">
        <v>1145</v>
      </c>
      <c r="M408" s="6" t="str">
        <f>HYPERLINK("http://maps.google.com/maps?f=q&amp;hl=en&amp;geocode=&amp;q=-28.86977,153.5637")</f>
        <v>http://maps.google.com/maps?f=q&amp;hl=en&amp;geocode=&amp;q=-28.86977,153.5637</v>
      </c>
    </row>
    <row r="409" spans="1:13" ht="60" x14ac:dyDescent="0.25">
      <c r="A409" s="4" t="s">
        <v>1137</v>
      </c>
      <c r="B409" s="4" t="s">
        <v>22</v>
      </c>
      <c r="C409" s="4" t="s">
        <v>14</v>
      </c>
      <c r="D409" s="4" t="s">
        <v>15</v>
      </c>
      <c r="F409" s="5">
        <v>24</v>
      </c>
      <c r="G409" s="4" t="s">
        <v>1138</v>
      </c>
      <c r="H409" s="4" t="s">
        <v>110</v>
      </c>
      <c r="I409" s="4" t="s">
        <v>1139</v>
      </c>
      <c r="J409" s="4" t="s">
        <v>19</v>
      </c>
      <c r="K409" s="4" t="s">
        <v>25</v>
      </c>
      <c r="L409" s="4" t="s">
        <v>1140</v>
      </c>
      <c r="M409" s="6" t="str">
        <f>HYPERLINK("http://maps.google.com/maps?f=q&amp;hl=en&amp;geocode=&amp;q=-28.32684,153.40188")</f>
        <v>http://maps.google.com/maps?f=q&amp;hl=en&amp;geocode=&amp;q=-28.32684,153.40188</v>
      </c>
    </row>
    <row r="410" spans="1:13" ht="60" x14ac:dyDescent="0.25">
      <c r="A410" s="4" t="s">
        <v>1133</v>
      </c>
      <c r="B410" s="4" t="s">
        <v>28</v>
      </c>
      <c r="C410" s="4" t="s">
        <v>14</v>
      </c>
      <c r="D410" s="4" t="s">
        <v>15</v>
      </c>
      <c r="F410" s="5">
        <v>24</v>
      </c>
      <c r="G410" s="4" t="s">
        <v>1134</v>
      </c>
      <c r="H410" s="4" t="s">
        <v>292</v>
      </c>
      <c r="I410" s="4" t="s">
        <v>1135</v>
      </c>
      <c r="J410" s="4" t="s">
        <v>18</v>
      </c>
      <c r="K410" s="4" t="s">
        <v>19</v>
      </c>
      <c r="L410" s="4" t="s">
        <v>1136</v>
      </c>
      <c r="M410" s="6" t="str">
        <f>HYPERLINK("http://maps.google.com/maps?f=q&amp;hl=en&amp;geocode=&amp;q=-28.86542,153.53781")</f>
        <v>http://maps.google.com/maps?f=q&amp;hl=en&amp;geocode=&amp;q=-28.86542,153.53781</v>
      </c>
    </row>
    <row r="411" spans="1:13" ht="60" x14ac:dyDescent="0.25">
      <c r="A411" s="4" t="s">
        <v>1129</v>
      </c>
      <c r="B411" s="4" t="s">
        <v>22</v>
      </c>
      <c r="C411" s="4" t="s">
        <v>14</v>
      </c>
      <c r="D411" s="4" t="s">
        <v>15</v>
      </c>
      <c r="F411" s="5">
        <v>12</v>
      </c>
      <c r="G411" s="4" t="s">
        <v>1130</v>
      </c>
      <c r="H411" s="4" t="s">
        <v>311</v>
      </c>
      <c r="I411" s="4" t="s">
        <v>1131</v>
      </c>
      <c r="J411" s="4" t="s">
        <v>145</v>
      </c>
      <c r="K411" s="4" t="s">
        <v>25</v>
      </c>
      <c r="L411" s="4" t="s">
        <v>1132</v>
      </c>
      <c r="M411" s="6" t="str">
        <f>HYPERLINK("http://maps.google.com/maps?f=q&amp;hl=en&amp;geocode=&amp;q=-28.24095,153.55317")</f>
        <v>http://maps.google.com/maps?f=q&amp;hl=en&amp;geocode=&amp;q=-28.24095,153.55317</v>
      </c>
    </row>
    <row r="412" spans="1:13" ht="60" x14ac:dyDescent="0.25">
      <c r="A412" s="4" t="s">
        <v>1125</v>
      </c>
      <c r="B412" s="4" t="s">
        <v>34</v>
      </c>
      <c r="C412" s="4" t="s">
        <v>14</v>
      </c>
      <c r="D412" s="4" t="s">
        <v>677</v>
      </c>
      <c r="E412" s="4" t="s">
        <v>1126</v>
      </c>
      <c r="F412" s="5">
        <v>19</v>
      </c>
      <c r="G412" s="4" t="s">
        <v>1127</v>
      </c>
      <c r="H412" s="4" t="s">
        <v>61</v>
      </c>
      <c r="J412" s="4" t="s">
        <v>25</v>
      </c>
      <c r="K412" s="4" t="s">
        <v>44</v>
      </c>
      <c r="L412" s="4" t="s">
        <v>1128</v>
      </c>
      <c r="M412" s="6" t="str">
        <f>HYPERLINK("http://maps.google.com/maps?f=q&amp;hl=en&amp;geocode=&amp;q=-28.80948,153.34608")</f>
        <v>http://maps.google.com/maps?f=q&amp;hl=en&amp;geocode=&amp;q=-28.80948,153.34608</v>
      </c>
    </row>
    <row r="413" spans="1:13" ht="60" x14ac:dyDescent="0.25">
      <c r="A413" s="4" t="s">
        <v>1122</v>
      </c>
      <c r="B413" s="4" t="s">
        <v>13</v>
      </c>
      <c r="C413" s="4" t="s">
        <v>14</v>
      </c>
      <c r="D413" s="4" t="s">
        <v>15</v>
      </c>
      <c r="F413" s="5">
        <v>23</v>
      </c>
      <c r="G413" s="4" t="s">
        <v>1123</v>
      </c>
      <c r="H413" s="4" t="s">
        <v>1124</v>
      </c>
      <c r="J413" s="4" t="s">
        <v>38</v>
      </c>
      <c r="K413" s="4" t="s">
        <v>19</v>
      </c>
      <c r="M413" s="6" t="str">
        <f>HYPERLINK("http://maps.google.com/maps?f=q&amp;hl=en&amp;geocode=&amp;q=-28.99761,153.28194")</f>
        <v>http://maps.google.com/maps?f=q&amp;hl=en&amp;geocode=&amp;q=-28.99761,153.28194</v>
      </c>
    </row>
    <row r="414" spans="1:13" ht="60" x14ac:dyDescent="0.25">
      <c r="A414" s="4" t="s">
        <v>1118</v>
      </c>
      <c r="B414" s="4" t="s">
        <v>82</v>
      </c>
      <c r="C414" s="4" t="s">
        <v>14</v>
      </c>
      <c r="D414" s="4" t="s">
        <v>15</v>
      </c>
      <c r="F414" s="5">
        <v>19</v>
      </c>
      <c r="G414" s="4" t="s">
        <v>1119</v>
      </c>
      <c r="H414" s="4" t="s">
        <v>194</v>
      </c>
      <c r="I414" s="4" t="s">
        <v>1120</v>
      </c>
      <c r="J414" s="4" t="s">
        <v>50</v>
      </c>
      <c r="K414" s="4" t="s">
        <v>50</v>
      </c>
      <c r="L414" s="4" t="s">
        <v>1121</v>
      </c>
      <c r="M414" s="6" t="str">
        <f>HYPERLINK("http://maps.google.com/maps?f=q&amp;hl=en&amp;geocode=&amp;q=-28.55145,153.50002")</f>
        <v>http://maps.google.com/maps?f=q&amp;hl=en&amp;geocode=&amp;q=-28.55145,153.50002</v>
      </c>
    </row>
    <row r="415" spans="1:13" ht="75" x14ac:dyDescent="0.25">
      <c r="A415" s="4" t="s">
        <v>1116</v>
      </c>
      <c r="B415" s="4" t="s">
        <v>69</v>
      </c>
      <c r="C415" s="4" t="s">
        <v>14</v>
      </c>
      <c r="D415" s="4" t="s">
        <v>15</v>
      </c>
      <c r="F415" s="5">
        <v>359</v>
      </c>
      <c r="G415" s="4" t="s">
        <v>348</v>
      </c>
      <c r="H415" s="4" t="s">
        <v>349</v>
      </c>
      <c r="I415" s="4" t="s">
        <v>1117</v>
      </c>
      <c r="J415" s="4" t="s">
        <v>19</v>
      </c>
      <c r="K415" s="4" t="s">
        <v>44</v>
      </c>
      <c r="M415" s="6" t="str">
        <f>HYPERLINK("http://maps.google.com/maps?f=q&amp;hl=en&amp;geocode=&amp;q=-29.67189,152.9218799")</f>
        <v>http://maps.google.com/maps?f=q&amp;hl=en&amp;geocode=&amp;q=-29.67189,152.9218799</v>
      </c>
    </row>
    <row r="416" spans="1:13" ht="60" x14ac:dyDescent="0.25">
      <c r="A416" s="4" t="s">
        <v>1114</v>
      </c>
      <c r="B416" s="4" t="s">
        <v>22</v>
      </c>
      <c r="C416" s="4" t="s">
        <v>70</v>
      </c>
      <c r="D416" s="4" t="s">
        <v>15</v>
      </c>
      <c r="F416" s="5">
        <v>95</v>
      </c>
      <c r="G416" s="4" t="s">
        <v>265</v>
      </c>
      <c r="H416" s="4" t="s">
        <v>165</v>
      </c>
      <c r="I416" s="4" t="s">
        <v>1115</v>
      </c>
      <c r="J416" s="4" t="s">
        <v>31</v>
      </c>
      <c r="M416" s="6" t="str">
        <f>HYPERLINK("http://maps.google.com/maps?f=q&amp;hl=en&amp;geocode=&amp;q=-28.22188,153.54478")</f>
        <v>http://maps.google.com/maps?f=q&amp;hl=en&amp;geocode=&amp;q=-28.22188,153.54478</v>
      </c>
    </row>
    <row r="417" spans="1:13" ht="60" x14ac:dyDescent="0.25">
      <c r="A417" s="4" t="s">
        <v>1111</v>
      </c>
      <c r="B417" s="4" t="s">
        <v>82</v>
      </c>
      <c r="C417" s="4" t="s">
        <v>14</v>
      </c>
      <c r="D417" s="4" t="s">
        <v>15</v>
      </c>
      <c r="F417" s="5">
        <v>7</v>
      </c>
      <c r="G417" s="4" t="s">
        <v>1112</v>
      </c>
      <c r="H417" s="4" t="s">
        <v>84</v>
      </c>
      <c r="I417" s="4" t="s">
        <v>31</v>
      </c>
      <c r="J417" s="4" t="s">
        <v>523</v>
      </c>
      <c r="K417" s="4" t="s">
        <v>19</v>
      </c>
      <c r="L417" s="4" t="s">
        <v>1113</v>
      </c>
      <c r="M417" s="6" t="str">
        <f>HYPERLINK("http://maps.google.com/maps?f=q&amp;hl=en&amp;geocode=&amp;q=-28.66321,153.60861")</f>
        <v>http://maps.google.com/maps?f=q&amp;hl=en&amp;geocode=&amp;q=-28.66321,153.60861</v>
      </c>
    </row>
    <row r="418" spans="1:13" ht="60" x14ac:dyDescent="0.25">
      <c r="A418" s="4" t="s">
        <v>1108</v>
      </c>
      <c r="B418" s="4" t="s">
        <v>22</v>
      </c>
      <c r="C418" s="4" t="s">
        <v>14</v>
      </c>
      <c r="D418" s="4" t="s">
        <v>15</v>
      </c>
      <c r="F418" s="5">
        <v>136</v>
      </c>
      <c r="G418" s="4" t="s">
        <v>265</v>
      </c>
      <c r="H418" s="4" t="s">
        <v>165</v>
      </c>
      <c r="I418" s="4" t="s">
        <v>1109</v>
      </c>
      <c r="J418" s="4" t="s">
        <v>66</v>
      </c>
      <c r="K418" s="4" t="s">
        <v>49</v>
      </c>
      <c r="L418" s="4" t="s">
        <v>1110</v>
      </c>
      <c r="M418" s="6" t="str">
        <f>HYPERLINK("http://maps.google.com/maps?f=q&amp;hl=en&amp;geocode=&amp;q=-28.22667,153.5431")</f>
        <v>http://maps.google.com/maps?f=q&amp;hl=en&amp;geocode=&amp;q=-28.22667,153.5431</v>
      </c>
    </row>
    <row r="419" spans="1:13" ht="60" x14ac:dyDescent="0.25">
      <c r="A419" s="4" t="s">
        <v>1105</v>
      </c>
      <c r="B419" s="4" t="s">
        <v>22</v>
      </c>
      <c r="C419" s="4" t="s">
        <v>70</v>
      </c>
      <c r="D419" s="4" t="s">
        <v>15</v>
      </c>
      <c r="F419" s="5">
        <v>32</v>
      </c>
      <c r="G419" s="4" t="s">
        <v>1106</v>
      </c>
      <c r="H419" s="4" t="s">
        <v>160</v>
      </c>
      <c r="J419" s="4" t="s">
        <v>25</v>
      </c>
      <c r="K419" s="4" t="s">
        <v>237</v>
      </c>
      <c r="L419" s="4" t="s">
        <v>1107</v>
      </c>
      <c r="M419" s="6" t="str">
        <f>HYPERLINK("http://maps.google.com/maps?f=q&amp;hl=en&amp;geocode=&amp;q=-28.19613,153.50974")</f>
        <v>http://maps.google.com/maps?f=q&amp;hl=en&amp;geocode=&amp;q=-28.19613,153.50974</v>
      </c>
    </row>
    <row r="420" spans="1:13" ht="60" x14ac:dyDescent="0.25">
      <c r="A420" s="4" t="s">
        <v>1103</v>
      </c>
      <c r="B420" s="4" t="s">
        <v>82</v>
      </c>
      <c r="C420" s="4" t="s">
        <v>14</v>
      </c>
      <c r="D420" s="4" t="s">
        <v>15</v>
      </c>
      <c r="F420" s="5">
        <v>119</v>
      </c>
      <c r="G420" s="4" t="s">
        <v>1104</v>
      </c>
      <c r="H420" s="4" t="s">
        <v>631</v>
      </c>
      <c r="I420" s="4" t="s">
        <v>337</v>
      </c>
      <c r="J420" s="4" t="s">
        <v>31</v>
      </c>
      <c r="K420" s="4" t="s">
        <v>25</v>
      </c>
      <c r="M420" s="6" t="str">
        <f>HYPERLINK("http://maps.google.com/maps?f=q&amp;hl=en&amp;geocode=&amp;q=-28.712,153.52334")</f>
        <v>http://maps.google.com/maps?f=q&amp;hl=en&amp;geocode=&amp;q=-28.712,153.52334</v>
      </c>
    </row>
    <row r="421" spans="1:13" ht="60" x14ac:dyDescent="0.25">
      <c r="A421" s="4" t="s">
        <v>1100</v>
      </c>
      <c r="B421" s="4" t="s">
        <v>126</v>
      </c>
      <c r="C421" s="4" t="s">
        <v>14</v>
      </c>
      <c r="D421" s="4" t="s">
        <v>15</v>
      </c>
      <c r="F421" s="5">
        <v>14</v>
      </c>
      <c r="G421" s="4" t="s">
        <v>1101</v>
      </c>
      <c r="H421" s="4" t="s">
        <v>128</v>
      </c>
      <c r="I421" s="4" t="s">
        <v>117</v>
      </c>
      <c r="J421" s="4" t="s">
        <v>19</v>
      </c>
      <c r="K421" s="4" t="s">
        <v>31</v>
      </c>
      <c r="L421" s="4" t="s">
        <v>1102</v>
      </c>
      <c r="M421" s="6" t="str">
        <f>HYPERLINK("http://maps.google.com/maps?f=q&amp;hl=en&amp;geocode=&amp;q=-28.63717,152.99957")</f>
        <v>http://maps.google.com/maps?f=q&amp;hl=en&amp;geocode=&amp;q=-28.63717,152.99957</v>
      </c>
    </row>
    <row r="422" spans="1:13" ht="60" x14ac:dyDescent="0.25">
      <c r="A422" s="4" t="s">
        <v>1098</v>
      </c>
      <c r="B422" s="4" t="s">
        <v>22</v>
      </c>
      <c r="C422" s="4" t="s">
        <v>70</v>
      </c>
      <c r="D422" s="4" t="s">
        <v>15</v>
      </c>
      <c r="F422" s="5">
        <v>86</v>
      </c>
      <c r="G422" s="4" t="s">
        <v>1099</v>
      </c>
      <c r="H422" s="4" t="s">
        <v>165</v>
      </c>
      <c r="J422" s="4" t="s">
        <v>31</v>
      </c>
      <c r="K422" s="4" t="s">
        <v>25</v>
      </c>
      <c r="M422" s="6" t="str">
        <f>HYPERLINK("http://maps.google.com/maps?f=q&amp;hl=en&amp;geocode=&amp;q=-28.21144,153.53322")</f>
        <v>http://maps.google.com/maps?f=q&amp;hl=en&amp;geocode=&amp;q=-28.21144,153.53322</v>
      </c>
    </row>
    <row r="423" spans="1:13" ht="60" x14ac:dyDescent="0.25">
      <c r="A423" s="4" t="s">
        <v>1095</v>
      </c>
      <c r="B423" s="4" t="s">
        <v>22</v>
      </c>
      <c r="C423" s="4" t="s">
        <v>70</v>
      </c>
      <c r="D423" s="4" t="s">
        <v>15</v>
      </c>
      <c r="F423" s="5">
        <v>81</v>
      </c>
      <c r="G423" s="4" t="s">
        <v>1096</v>
      </c>
      <c r="H423" s="4" t="s">
        <v>160</v>
      </c>
      <c r="J423" s="4" t="s">
        <v>19</v>
      </c>
      <c r="K423" s="4" t="s">
        <v>18</v>
      </c>
      <c r="L423" s="4" t="s">
        <v>1097</v>
      </c>
      <c r="M423" s="6" t="str">
        <f>HYPERLINK("http://maps.google.com/maps?f=q&amp;hl=en&amp;geocode=&amp;q=-28.20117,153.50868")</f>
        <v>http://maps.google.com/maps?f=q&amp;hl=en&amp;geocode=&amp;q=-28.20117,153.50868</v>
      </c>
    </row>
    <row r="424" spans="1:13" ht="60" x14ac:dyDescent="0.25">
      <c r="A424" s="4" t="s">
        <v>1092</v>
      </c>
      <c r="B424" s="4" t="s">
        <v>28</v>
      </c>
      <c r="C424" s="4" t="s">
        <v>14</v>
      </c>
      <c r="D424" s="4" t="s">
        <v>41</v>
      </c>
      <c r="F424" s="5" t="s">
        <v>1093</v>
      </c>
      <c r="G424" s="4" t="s">
        <v>1094</v>
      </c>
      <c r="H424" s="4" t="s">
        <v>30</v>
      </c>
      <c r="J424" s="4" t="s">
        <v>18</v>
      </c>
      <c r="K424" s="4" t="s">
        <v>145</v>
      </c>
      <c r="M424" s="6" t="str">
        <f>HYPERLINK("http://maps.google.com/maps?f=q&amp;hl=en&amp;geocode=&amp;q=-28.78962,153.58812")</f>
        <v>http://maps.google.com/maps?f=q&amp;hl=en&amp;geocode=&amp;q=-28.78962,153.58812</v>
      </c>
    </row>
    <row r="425" spans="1:13" ht="60" x14ac:dyDescent="0.25">
      <c r="A425" s="4" t="s">
        <v>1089</v>
      </c>
      <c r="B425" s="4" t="s">
        <v>34</v>
      </c>
      <c r="C425" s="4" t="s">
        <v>70</v>
      </c>
      <c r="D425" s="4" t="s">
        <v>15</v>
      </c>
      <c r="F425" s="5" t="s">
        <v>1090</v>
      </c>
      <c r="G425" s="4" t="s">
        <v>1091</v>
      </c>
      <c r="H425" s="4" t="s">
        <v>61</v>
      </c>
      <c r="J425" s="4" t="s">
        <v>25</v>
      </c>
      <c r="K425" s="4" t="s">
        <v>57</v>
      </c>
      <c r="M425" s="6" t="str">
        <f>HYPERLINK("http://maps.google.com/maps?f=q&amp;hl=en&amp;geocode=&amp;q=-28.82666,153.32871")</f>
        <v>http://maps.google.com/maps?f=q&amp;hl=en&amp;geocode=&amp;q=-28.82666,153.32871</v>
      </c>
    </row>
    <row r="426" spans="1:13" ht="60" x14ac:dyDescent="0.25">
      <c r="A426" s="4" t="s">
        <v>1084</v>
      </c>
      <c r="B426" s="4" t="s">
        <v>82</v>
      </c>
      <c r="C426" s="4" t="s">
        <v>14</v>
      </c>
      <c r="D426" s="4" t="s">
        <v>15</v>
      </c>
      <c r="F426" s="5">
        <v>42</v>
      </c>
      <c r="G426" s="4" t="s">
        <v>1085</v>
      </c>
      <c r="H426" s="4" t="s">
        <v>1086</v>
      </c>
      <c r="I426" s="4" t="s">
        <v>1087</v>
      </c>
      <c r="J426" s="4" t="s">
        <v>18</v>
      </c>
      <c r="K426" s="4" t="s">
        <v>31</v>
      </c>
      <c r="L426" s="4" t="s">
        <v>1088</v>
      </c>
      <c r="M426" s="6" t="str">
        <f>HYPERLINK("http://maps.google.com/maps?f=q&amp;hl=en&amp;geocode=&amp;q=-28.55589,153.48369")</f>
        <v>http://maps.google.com/maps?f=q&amp;hl=en&amp;geocode=&amp;q=-28.55589,153.48369</v>
      </c>
    </row>
    <row r="427" spans="1:13" ht="60" x14ac:dyDescent="0.25">
      <c r="A427" s="4" t="s">
        <v>1080</v>
      </c>
      <c r="B427" s="4" t="s">
        <v>34</v>
      </c>
      <c r="C427" s="4" t="s">
        <v>70</v>
      </c>
      <c r="D427" s="4" t="s">
        <v>15</v>
      </c>
      <c r="F427" s="5">
        <v>100</v>
      </c>
      <c r="G427" s="4" t="s">
        <v>1081</v>
      </c>
      <c r="H427" s="4" t="s">
        <v>1082</v>
      </c>
      <c r="I427" s="4" t="s">
        <v>1083</v>
      </c>
      <c r="J427" s="4" t="s">
        <v>31</v>
      </c>
      <c r="K427" s="4" t="s">
        <v>25</v>
      </c>
      <c r="M427" s="6" t="str">
        <f>HYPERLINK("http://maps.google.com/maps?f=q&amp;hl=en&amp;geocode=&amp;q=-28.87247,153.20229")</f>
        <v>http://maps.google.com/maps?f=q&amp;hl=en&amp;geocode=&amp;q=-28.87247,153.20229</v>
      </c>
    </row>
    <row r="428" spans="1:13" ht="60" x14ac:dyDescent="0.25">
      <c r="A428" s="4" t="s">
        <v>1076</v>
      </c>
      <c r="B428" s="4" t="s">
        <v>28</v>
      </c>
      <c r="C428" s="4" t="s">
        <v>14</v>
      </c>
      <c r="D428" s="4" t="s">
        <v>15</v>
      </c>
      <c r="F428" s="5">
        <v>2</v>
      </c>
      <c r="G428" s="4" t="s">
        <v>1077</v>
      </c>
      <c r="H428" s="4" t="s">
        <v>107</v>
      </c>
      <c r="I428" s="4" t="s">
        <v>1078</v>
      </c>
      <c r="J428" s="4" t="s">
        <v>44</v>
      </c>
      <c r="K428" s="4" t="s">
        <v>19</v>
      </c>
      <c r="L428" s="4" t="s">
        <v>1079</v>
      </c>
      <c r="M428" s="6" t="str">
        <f>HYPERLINK("http://maps.google.com/maps?f=q&amp;hl=en&amp;geocode=&amp;q=-28.87031,153.56833")</f>
        <v>http://maps.google.com/maps?f=q&amp;hl=en&amp;geocode=&amp;q=-28.87031,153.56833</v>
      </c>
    </row>
    <row r="429" spans="1:13" ht="60" x14ac:dyDescent="0.25">
      <c r="A429" s="4" t="s">
        <v>1073</v>
      </c>
      <c r="B429" s="4" t="s">
        <v>34</v>
      </c>
      <c r="C429" s="4" t="s">
        <v>14</v>
      </c>
      <c r="D429" s="4" t="s">
        <v>15</v>
      </c>
      <c r="F429" s="5">
        <v>18</v>
      </c>
      <c r="G429" s="4" t="s">
        <v>1074</v>
      </c>
      <c r="H429" s="4" t="s">
        <v>186</v>
      </c>
      <c r="I429" s="4" t="s">
        <v>1075</v>
      </c>
      <c r="J429" s="4" t="s">
        <v>19</v>
      </c>
      <c r="K429" s="4" t="s">
        <v>25</v>
      </c>
      <c r="M429" s="6" t="str">
        <f>HYPERLINK("http://maps.google.com/maps?f=q&amp;hl=en&amp;geocode=&amp;q=-28.80682,153.30718")</f>
        <v>http://maps.google.com/maps?f=q&amp;hl=en&amp;geocode=&amp;q=-28.80682,153.30718</v>
      </c>
    </row>
    <row r="430" spans="1:13" ht="75" x14ac:dyDescent="0.25">
      <c r="A430" s="4" t="s">
        <v>1070</v>
      </c>
      <c r="B430" s="4" t="s">
        <v>69</v>
      </c>
      <c r="C430" s="4" t="s">
        <v>14</v>
      </c>
      <c r="D430" s="4" t="s">
        <v>15</v>
      </c>
      <c r="F430" s="5">
        <v>46</v>
      </c>
      <c r="G430" s="4" t="s">
        <v>1071</v>
      </c>
      <c r="H430" s="4" t="s">
        <v>765</v>
      </c>
      <c r="I430" s="4" t="s">
        <v>1072</v>
      </c>
      <c r="J430" s="4" t="s">
        <v>31</v>
      </c>
      <c r="K430" s="4" t="s">
        <v>18</v>
      </c>
      <c r="L430" s="4" t="s">
        <v>73</v>
      </c>
      <c r="M430" s="6" t="str">
        <f>HYPERLINK("http://maps.google.com/maps?f=q&amp;hl=en&amp;geocode=&amp;q=52.2098007202148,0.111469998955727")</f>
        <v>http://maps.google.com/maps?f=q&amp;hl=en&amp;geocode=&amp;q=52.2098007202148,0.111469998955727</v>
      </c>
    </row>
    <row r="431" spans="1:13" ht="60" x14ac:dyDescent="0.25">
      <c r="A431" s="4" t="s">
        <v>1066</v>
      </c>
      <c r="B431" s="4" t="s">
        <v>22</v>
      </c>
      <c r="C431" s="4" t="s">
        <v>14</v>
      </c>
      <c r="D431" s="4" t="s">
        <v>15</v>
      </c>
      <c r="F431" s="5">
        <v>4</v>
      </c>
      <c r="G431" s="4" t="s">
        <v>1067</v>
      </c>
      <c r="H431" s="4" t="s">
        <v>703</v>
      </c>
      <c r="I431" s="4" t="s">
        <v>1068</v>
      </c>
      <c r="J431" s="4" t="s">
        <v>49</v>
      </c>
      <c r="K431" s="4" t="s">
        <v>31</v>
      </c>
      <c r="L431" s="4" t="s">
        <v>1069</v>
      </c>
      <c r="M431" s="6" t="str">
        <f>HYPERLINK("http://maps.google.com/maps?f=q&amp;hl=en&amp;geocode=&amp;q=-28.38662,153.5531")</f>
        <v>http://maps.google.com/maps?f=q&amp;hl=en&amp;geocode=&amp;q=-28.38662,153.5531</v>
      </c>
    </row>
    <row r="432" spans="1:13" ht="60" x14ac:dyDescent="0.25">
      <c r="A432" s="4" t="s">
        <v>1063</v>
      </c>
      <c r="B432" s="4" t="s">
        <v>82</v>
      </c>
      <c r="C432" s="4" t="s">
        <v>14</v>
      </c>
      <c r="D432" s="4" t="s">
        <v>15</v>
      </c>
      <c r="F432" s="5">
        <v>20</v>
      </c>
      <c r="G432" s="4" t="s">
        <v>1064</v>
      </c>
      <c r="H432" s="4" t="s">
        <v>84</v>
      </c>
      <c r="I432" s="4" t="s">
        <v>31</v>
      </c>
      <c r="J432" s="4" t="s">
        <v>18</v>
      </c>
      <c r="K432" s="4" t="s">
        <v>66</v>
      </c>
      <c r="L432" s="4" t="s">
        <v>1065</v>
      </c>
      <c r="M432" s="6" t="str">
        <f>HYPERLINK("http://maps.google.com/maps?f=q&amp;hl=en&amp;geocode=&amp;q=-28.63178,153.58527")</f>
        <v>http://maps.google.com/maps?f=q&amp;hl=en&amp;geocode=&amp;q=-28.63178,153.58527</v>
      </c>
    </row>
    <row r="433" spans="1:13" ht="75" x14ac:dyDescent="0.25">
      <c r="A433" s="4" t="s">
        <v>1060</v>
      </c>
      <c r="B433" s="4" t="s">
        <v>22</v>
      </c>
      <c r="C433" s="4" t="s">
        <v>14</v>
      </c>
      <c r="D433" s="4" t="s">
        <v>15</v>
      </c>
      <c r="F433" s="5">
        <v>48</v>
      </c>
      <c r="G433" s="4" t="s">
        <v>1061</v>
      </c>
      <c r="H433" s="4" t="s">
        <v>213</v>
      </c>
      <c r="I433" s="4" t="s">
        <v>1062</v>
      </c>
      <c r="J433" s="4" t="s">
        <v>25</v>
      </c>
      <c r="K433" s="4" t="s">
        <v>31</v>
      </c>
      <c r="M433" s="6" t="str">
        <f>HYPERLINK("http://maps.google.com/maps?f=q&amp;hl=en&amp;geocode=&amp;q=-28.31881,153.4703199")</f>
        <v>http://maps.google.com/maps?f=q&amp;hl=en&amp;geocode=&amp;q=-28.31881,153.4703199</v>
      </c>
    </row>
    <row r="434" spans="1:13" ht="60" x14ac:dyDescent="0.25">
      <c r="A434" s="4" t="s">
        <v>1056</v>
      </c>
      <c r="B434" s="4" t="s">
        <v>22</v>
      </c>
      <c r="C434" s="4" t="s">
        <v>14</v>
      </c>
      <c r="D434" s="4" t="s">
        <v>15</v>
      </c>
      <c r="F434" s="5">
        <v>12</v>
      </c>
      <c r="G434" s="4" t="s">
        <v>1057</v>
      </c>
      <c r="H434" s="4" t="s">
        <v>110</v>
      </c>
      <c r="I434" s="4" t="s">
        <v>1058</v>
      </c>
      <c r="J434" s="4" t="s">
        <v>25</v>
      </c>
      <c r="K434" s="4" t="s">
        <v>18</v>
      </c>
      <c r="L434" s="4" t="s">
        <v>1059</v>
      </c>
      <c r="M434" s="6" t="str">
        <f>HYPERLINK("http://maps.google.com/maps?f=q&amp;hl=en&amp;geocode=&amp;q=-28.32501,153.40271")</f>
        <v>http://maps.google.com/maps?f=q&amp;hl=en&amp;geocode=&amp;q=-28.32501,153.40271</v>
      </c>
    </row>
    <row r="435" spans="1:13" ht="75" x14ac:dyDescent="0.25">
      <c r="A435" s="4" t="s">
        <v>1052</v>
      </c>
      <c r="B435" s="4" t="s">
        <v>82</v>
      </c>
      <c r="C435" s="4" t="s">
        <v>14</v>
      </c>
      <c r="D435" s="4" t="s">
        <v>15</v>
      </c>
      <c r="F435" s="5">
        <v>18</v>
      </c>
      <c r="G435" s="4" t="s">
        <v>1053</v>
      </c>
      <c r="H435" s="4" t="s">
        <v>194</v>
      </c>
      <c r="I435" s="4" t="s">
        <v>1054</v>
      </c>
      <c r="J435" s="4" t="s">
        <v>145</v>
      </c>
      <c r="K435" s="4" t="s">
        <v>44</v>
      </c>
      <c r="L435" s="4" t="s">
        <v>1055</v>
      </c>
      <c r="M435" s="6" t="str">
        <f>HYPERLINK("http://maps.google.com/maps?f=q&amp;hl=en&amp;geocode=&amp;q=-28.5531997680664,153.499938964844")</f>
        <v>http://maps.google.com/maps?f=q&amp;hl=en&amp;geocode=&amp;q=-28.5531997680664,153.499938964844</v>
      </c>
    </row>
    <row r="436" spans="1:13" ht="60" x14ac:dyDescent="0.25">
      <c r="A436" s="4" t="s">
        <v>1051</v>
      </c>
      <c r="B436" s="4" t="s">
        <v>22</v>
      </c>
      <c r="C436" s="4" t="s">
        <v>14</v>
      </c>
      <c r="D436" s="4" t="s">
        <v>15</v>
      </c>
      <c r="F436" s="5">
        <v>42</v>
      </c>
      <c r="G436" s="4" t="s">
        <v>893</v>
      </c>
      <c r="H436" s="4" t="s">
        <v>55</v>
      </c>
      <c r="J436" s="4" t="s">
        <v>19</v>
      </c>
      <c r="K436" s="4" t="s">
        <v>19</v>
      </c>
      <c r="M436" s="6" t="str">
        <f>HYPERLINK("http://maps.google.com/maps?f=q&amp;hl=en&amp;geocode=&amp;q=-28.1797,153.53727")</f>
        <v>http://maps.google.com/maps?f=q&amp;hl=en&amp;geocode=&amp;q=-28.1797,153.53727</v>
      </c>
    </row>
    <row r="437" spans="1:13" ht="60" x14ac:dyDescent="0.25">
      <c r="A437" s="4" t="s">
        <v>1048</v>
      </c>
      <c r="B437" s="4" t="s">
        <v>82</v>
      </c>
      <c r="C437" s="4" t="s">
        <v>14</v>
      </c>
      <c r="D437" s="4" t="s">
        <v>335</v>
      </c>
      <c r="F437" s="5">
        <v>26</v>
      </c>
      <c r="G437" s="4" t="s">
        <v>1049</v>
      </c>
      <c r="H437" s="4" t="s">
        <v>1050</v>
      </c>
      <c r="I437" s="4" t="s">
        <v>613</v>
      </c>
      <c r="J437" s="4" t="s">
        <v>18</v>
      </c>
      <c r="K437" s="4" t="s">
        <v>66</v>
      </c>
      <c r="M437" s="6" t="str">
        <f>HYPERLINK("http://maps.google.com/maps?f=q&amp;hl=en&amp;geocode=&amp;q=-28.49472,153.54735")</f>
        <v>http://maps.google.com/maps?f=q&amp;hl=en&amp;geocode=&amp;q=-28.49472,153.54735</v>
      </c>
    </row>
    <row r="438" spans="1:13" ht="60" x14ac:dyDescent="0.25">
      <c r="A438" s="4" t="s">
        <v>1046</v>
      </c>
      <c r="B438" s="4" t="s">
        <v>34</v>
      </c>
      <c r="C438" s="4" t="s">
        <v>14</v>
      </c>
      <c r="D438" s="4" t="s">
        <v>15</v>
      </c>
      <c r="F438" s="5">
        <v>624</v>
      </c>
      <c r="G438" s="4" t="s">
        <v>1031</v>
      </c>
      <c r="H438" s="4" t="s">
        <v>61</v>
      </c>
      <c r="J438" s="4" t="s">
        <v>66</v>
      </c>
      <c r="K438" s="4" t="s">
        <v>31</v>
      </c>
      <c r="L438" s="4" t="s">
        <v>1047</v>
      </c>
      <c r="M438" s="6" t="str">
        <f>HYPERLINK("http://maps.google.com/maps?f=q&amp;hl=en&amp;geocode=&amp;q=-28.81761,153.3255")</f>
        <v>http://maps.google.com/maps?f=q&amp;hl=en&amp;geocode=&amp;q=-28.81761,153.3255</v>
      </c>
    </row>
    <row r="439" spans="1:13" ht="60" x14ac:dyDescent="0.25">
      <c r="A439" s="4" t="s">
        <v>1042</v>
      </c>
      <c r="B439" s="4" t="s">
        <v>28</v>
      </c>
      <c r="C439" s="4" t="s">
        <v>70</v>
      </c>
      <c r="D439" s="4" t="s">
        <v>15</v>
      </c>
      <c r="F439" s="5">
        <v>20</v>
      </c>
      <c r="G439" s="4" t="s">
        <v>1043</v>
      </c>
      <c r="H439" s="4" t="s">
        <v>30</v>
      </c>
      <c r="I439" s="4" t="s">
        <v>1044</v>
      </c>
      <c r="J439" s="4" t="s">
        <v>31</v>
      </c>
      <c r="K439" s="4" t="s">
        <v>25</v>
      </c>
      <c r="L439" s="4" t="s">
        <v>1045</v>
      </c>
      <c r="M439" s="6" t="str">
        <f>HYPERLINK("http://maps.google.com/maps?f=q&amp;hl=en&amp;geocode=&amp;q=-28.81396,153.58577")</f>
        <v>http://maps.google.com/maps?f=q&amp;hl=en&amp;geocode=&amp;q=-28.81396,153.58577</v>
      </c>
    </row>
    <row r="440" spans="1:13" ht="60" x14ac:dyDescent="0.25">
      <c r="A440" s="4" t="s">
        <v>1039</v>
      </c>
      <c r="B440" s="4" t="s">
        <v>28</v>
      </c>
      <c r="C440" s="4" t="s">
        <v>14</v>
      </c>
      <c r="D440" s="4" t="s">
        <v>41</v>
      </c>
      <c r="F440" s="5">
        <v>56</v>
      </c>
      <c r="G440" s="4" t="s">
        <v>1040</v>
      </c>
      <c r="H440" s="4" t="s">
        <v>30</v>
      </c>
      <c r="I440" s="4" t="s">
        <v>1041</v>
      </c>
      <c r="J440" s="4" t="s">
        <v>49</v>
      </c>
      <c r="K440" s="4" t="s">
        <v>44</v>
      </c>
      <c r="M440" s="6" t="str">
        <f>HYPERLINK("http://maps.google.com/maps?f=q&amp;hl=en&amp;geocode=&amp;q=-28.7875,153.5907")</f>
        <v>http://maps.google.com/maps?f=q&amp;hl=en&amp;geocode=&amp;q=-28.7875,153.5907</v>
      </c>
    </row>
    <row r="441" spans="1:13" ht="60" x14ac:dyDescent="0.25">
      <c r="A441" s="4" t="s">
        <v>1033</v>
      </c>
      <c r="B441" s="4" t="s">
        <v>22</v>
      </c>
      <c r="C441" s="4" t="s">
        <v>14</v>
      </c>
      <c r="D441" s="4" t="s">
        <v>15</v>
      </c>
      <c r="F441" s="5" t="s">
        <v>1034</v>
      </c>
      <c r="G441" s="4" t="s">
        <v>1035</v>
      </c>
      <c r="H441" s="4" t="s">
        <v>1036</v>
      </c>
      <c r="I441" s="4" t="s">
        <v>1037</v>
      </c>
      <c r="J441" s="4" t="s">
        <v>224</v>
      </c>
      <c r="K441" s="4" t="s">
        <v>19</v>
      </c>
      <c r="L441" s="4" t="s">
        <v>1038</v>
      </c>
      <c r="M441" s="6" t="str">
        <f>HYPERLINK("http://maps.google.com/maps?f=q&amp;hl=en&amp;geocode=&amp;q=-28.21618,153.5409")</f>
        <v>http://maps.google.com/maps?f=q&amp;hl=en&amp;geocode=&amp;q=-28.21618,153.5409</v>
      </c>
    </row>
    <row r="442" spans="1:13" ht="75" x14ac:dyDescent="0.25">
      <c r="A442" s="4" t="s">
        <v>1030</v>
      </c>
      <c r="B442" s="4" t="s">
        <v>34</v>
      </c>
      <c r="C442" s="4" t="s">
        <v>14</v>
      </c>
      <c r="D442" s="4" t="s">
        <v>15</v>
      </c>
      <c r="F442" s="5">
        <v>744</v>
      </c>
      <c r="G442" s="4" t="s">
        <v>1031</v>
      </c>
      <c r="H442" s="4" t="s">
        <v>61</v>
      </c>
      <c r="I442" s="4" t="s">
        <v>1032</v>
      </c>
      <c r="J442" s="4" t="s">
        <v>25</v>
      </c>
      <c r="K442" s="4" t="s">
        <v>31</v>
      </c>
      <c r="M442" s="6" t="str">
        <f>HYPERLINK("http://maps.google.com/maps?f=q&amp;hl=en&amp;geocode=&amp;q=-28.81429,153.3377099")</f>
        <v>http://maps.google.com/maps?f=q&amp;hl=en&amp;geocode=&amp;q=-28.81429,153.3377099</v>
      </c>
    </row>
    <row r="443" spans="1:13" ht="60" x14ac:dyDescent="0.25">
      <c r="A443" s="4" t="s">
        <v>1026</v>
      </c>
      <c r="B443" s="4" t="s">
        <v>82</v>
      </c>
      <c r="C443" s="4" t="s">
        <v>70</v>
      </c>
      <c r="D443" s="4" t="s">
        <v>41</v>
      </c>
      <c r="F443" s="5">
        <v>29</v>
      </c>
      <c r="G443" s="4" t="s">
        <v>1027</v>
      </c>
      <c r="H443" s="4" t="s">
        <v>84</v>
      </c>
      <c r="I443" s="4" t="s">
        <v>1028</v>
      </c>
      <c r="J443" s="4" t="s">
        <v>31</v>
      </c>
      <c r="K443" s="4" t="s">
        <v>18</v>
      </c>
      <c r="L443" s="4" t="s">
        <v>1029</v>
      </c>
      <c r="M443" s="6" t="str">
        <f>HYPERLINK("http://maps.google.com/maps?f=q&amp;hl=en&amp;geocode=&amp;q=-28.64245,153.61479")</f>
        <v>http://maps.google.com/maps?f=q&amp;hl=en&amp;geocode=&amp;q=-28.64245,153.61479</v>
      </c>
    </row>
    <row r="444" spans="1:13" ht="60" x14ac:dyDescent="0.25">
      <c r="A444" s="4" t="s">
        <v>1022</v>
      </c>
      <c r="B444" s="4" t="s">
        <v>22</v>
      </c>
      <c r="C444" s="4" t="s">
        <v>14</v>
      </c>
      <c r="D444" s="4" t="s">
        <v>15</v>
      </c>
      <c r="F444" s="5">
        <v>33</v>
      </c>
      <c r="G444" s="4" t="s">
        <v>1023</v>
      </c>
      <c r="H444" s="4" t="s">
        <v>165</v>
      </c>
      <c r="I444" s="4" t="s">
        <v>1024</v>
      </c>
      <c r="J444" s="4" t="s">
        <v>19</v>
      </c>
      <c r="K444" s="4" t="s">
        <v>25</v>
      </c>
      <c r="L444" s="4" t="s">
        <v>1025</v>
      </c>
      <c r="M444" s="6" t="str">
        <f>HYPERLINK("http://maps.google.com/maps?f=q&amp;hl=en&amp;geocode=&amp;q=-28.23165,153.53798")</f>
        <v>http://maps.google.com/maps?f=q&amp;hl=en&amp;geocode=&amp;q=-28.23165,153.53798</v>
      </c>
    </row>
    <row r="445" spans="1:13" ht="60" x14ac:dyDescent="0.25">
      <c r="A445" s="4" t="s">
        <v>1017</v>
      </c>
      <c r="B445" s="4" t="s">
        <v>82</v>
      </c>
      <c r="C445" s="4" t="s">
        <v>14</v>
      </c>
      <c r="D445" s="4" t="s">
        <v>15</v>
      </c>
      <c r="F445" s="5" t="s">
        <v>1018</v>
      </c>
      <c r="G445" s="4" t="s">
        <v>1019</v>
      </c>
      <c r="H445" s="4" t="s">
        <v>832</v>
      </c>
      <c r="I445" s="4" t="s">
        <v>1020</v>
      </c>
      <c r="J445" s="4" t="s">
        <v>19</v>
      </c>
      <c r="K445" s="4" t="s">
        <v>95</v>
      </c>
      <c r="L445" s="4" t="s">
        <v>1021</v>
      </c>
      <c r="M445" s="6" t="str">
        <f>HYPERLINK("http://maps.google.com/maps?f=q&amp;hl=en&amp;geocode=&amp;q=-28.68888,153.60418")</f>
        <v>http://maps.google.com/maps?f=q&amp;hl=en&amp;geocode=&amp;q=-28.68888,153.60418</v>
      </c>
    </row>
    <row r="446" spans="1:13" ht="75" x14ac:dyDescent="0.25">
      <c r="A446" s="4" t="s">
        <v>1013</v>
      </c>
      <c r="B446" s="4" t="s">
        <v>22</v>
      </c>
      <c r="C446" s="4" t="s">
        <v>14</v>
      </c>
      <c r="D446" s="4" t="s">
        <v>15</v>
      </c>
      <c r="F446" s="5">
        <v>35</v>
      </c>
      <c r="G446" s="4" t="s">
        <v>1014</v>
      </c>
      <c r="H446" s="4" t="s">
        <v>521</v>
      </c>
      <c r="I446" s="4" t="s">
        <v>1015</v>
      </c>
      <c r="J446" s="4" t="s">
        <v>44</v>
      </c>
      <c r="K446" s="4" t="s">
        <v>145</v>
      </c>
      <c r="L446" s="4" t="s">
        <v>1016</v>
      </c>
      <c r="M446" s="6" t="str">
        <f>HYPERLINK("http://maps.google.com/maps?f=q&amp;hl=en&amp;geocode=&amp;q=-28.19845,153.5215399")</f>
        <v>http://maps.google.com/maps?f=q&amp;hl=en&amp;geocode=&amp;q=-28.19845,153.5215399</v>
      </c>
    </row>
    <row r="447" spans="1:13" ht="60" x14ac:dyDescent="0.25">
      <c r="A447" s="4" t="s">
        <v>1011</v>
      </c>
      <c r="B447" s="4" t="s">
        <v>22</v>
      </c>
      <c r="C447" s="4" t="s">
        <v>70</v>
      </c>
      <c r="D447" s="4" t="s">
        <v>15</v>
      </c>
      <c r="F447" s="5">
        <v>99</v>
      </c>
      <c r="G447" s="4" t="s">
        <v>164</v>
      </c>
      <c r="H447" s="4" t="s">
        <v>165</v>
      </c>
      <c r="J447" s="4" t="s">
        <v>19</v>
      </c>
      <c r="K447" s="4" t="s">
        <v>31</v>
      </c>
      <c r="L447" s="4" t="s">
        <v>1012</v>
      </c>
      <c r="M447" s="6" t="str">
        <f>HYPERLINK("http://maps.google.com/maps?f=q&amp;hl=en&amp;geocode=&amp;q=-28.22402,153.53307")</f>
        <v>http://maps.google.com/maps?f=q&amp;hl=en&amp;geocode=&amp;q=-28.22402,153.53307</v>
      </c>
    </row>
    <row r="448" spans="1:13" ht="60" x14ac:dyDescent="0.25">
      <c r="A448" s="4" t="s">
        <v>1009</v>
      </c>
      <c r="B448" s="4" t="s">
        <v>34</v>
      </c>
      <c r="C448" s="4" t="s">
        <v>14</v>
      </c>
      <c r="D448" s="4" t="s">
        <v>15</v>
      </c>
      <c r="F448" s="5">
        <v>15</v>
      </c>
      <c r="G448" s="4" t="s">
        <v>1010</v>
      </c>
      <c r="H448" s="4" t="s">
        <v>565</v>
      </c>
      <c r="J448" s="4" t="s">
        <v>49</v>
      </c>
      <c r="K448" s="4" t="s">
        <v>18</v>
      </c>
      <c r="L448" s="4" t="s">
        <v>44</v>
      </c>
      <c r="M448" s="6" t="str">
        <f>HYPERLINK("http://maps.google.com/maps?f=q&amp;hl=en&amp;geocode=&amp;q=-28.8173,153.28153")</f>
        <v>http://maps.google.com/maps?f=q&amp;hl=en&amp;geocode=&amp;q=-28.8173,153.28153</v>
      </c>
    </row>
    <row r="449" spans="1:13" ht="60" x14ac:dyDescent="0.25">
      <c r="A449" s="4" t="s">
        <v>1006</v>
      </c>
      <c r="B449" s="4" t="s">
        <v>28</v>
      </c>
      <c r="C449" s="4" t="s">
        <v>14</v>
      </c>
      <c r="D449" s="4" t="s">
        <v>15</v>
      </c>
      <c r="F449" s="5" t="s">
        <v>271</v>
      </c>
      <c r="G449" s="4" t="s">
        <v>1007</v>
      </c>
      <c r="H449" s="4" t="s">
        <v>121</v>
      </c>
      <c r="I449" s="4" t="s">
        <v>1008</v>
      </c>
      <c r="J449" s="4" t="s">
        <v>25</v>
      </c>
      <c r="K449" s="4" t="s">
        <v>18</v>
      </c>
      <c r="M449" s="6" t="str">
        <f>HYPERLINK("http://maps.google.com/maps?f=q&amp;hl=en&amp;geocode=&amp;q=-28.84083,153.44136")</f>
        <v>http://maps.google.com/maps?f=q&amp;hl=en&amp;geocode=&amp;q=-28.84083,153.44136</v>
      </c>
    </row>
    <row r="450" spans="1:13" ht="60" x14ac:dyDescent="0.25">
      <c r="A450" s="4" t="s">
        <v>1002</v>
      </c>
      <c r="B450" s="4" t="s">
        <v>82</v>
      </c>
      <c r="C450" s="4" t="s">
        <v>14</v>
      </c>
      <c r="D450" s="4" t="s">
        <v>15</v>
      </c>
      <c r="F450" s="5">
        <v>30</v>
      </c>
      <c r="G450" s="4" t="s">
        <v>1003</v>
      </c>
      <c r="H450" s="4" t="s">
        <v>84</v>
      </c>
      <c r="I450" s="4" t="s">
        <v>1004</v>
      </c>
      <c r="J450" s="4" t="s">
        <v>18</v>
      </c>
      <c r="K450" s="4" t="s">
        <v>18</v>
      </c>
      <c r="L450" s="4" t="s">
        <v>1005</v>
      </c>
      <c r="M450" s="6" t="str">
        <f>HYPERLINK("http://maps.google.com/maps?f=q&amp;hl=en&amp;geocode=&amp;q=-28.64695,153.61893")</f>
        <v>http://maps.google.com/maps?f=q&amp;hl=en&amp;geocode=&amp;q=-28.64695,153.61893</v>
      </c>
    </row>
    <row r="451" spans="1:13" ht="60" x14ac:dyDescent="0.25">
      <c r="A451" s="4" t="s">
        <v>999</v>
      </c>
      <c r="B451" s="4" t="s">
        <v>13</v>
      </c>
      <c r="C451" s="4" t="s">
        <v>14</v>
      </c>
      <c r="D451" s="4" t="s">
        <v>15</v>
      </c>
      <c r="F451" s="5">
        <v>121</v>
      </c>
      <c r="G451" s="4" t="s">
        <v>1000</v>
      </c>
      <c r="H451" s="4" t="s">
        <v>218</v>
      </c>
      <c r="I451" s="4" t="s">
        <v>1001</v>
      </c>
      <c r="J451" s="4" t="s">
        <v>49</v>
      </c>
      <c r="K451" s="4" t="s">
        <v>50</v>
      </c>
      <c r="M451" s="6" t="str">
        <f>HYPERLINK("http://maps.google.com/maps?f=q&amp;hl=en&amp;geocode=&amp;q=-28.87227,153.04773")</f>
        <v>http://maps.google.com/maps?f=q&amp;hl=en&amp;geocode=&amp;q=-28.87227,153.04773</v>
      </c>
    </row>
    <row r="452" spans="1:13" ht="60" x14ac:dyDescent="0.25">
      <c r="A452" s="4" t="s">
        <v>995</v>
      </c>
      <c r="B452" s="4" t="s">
        <v>28</v>
      </c>
      <c r="C452" s="4" t="s">
        <v>14</v>
      </c>
      <c r="D452" s="4" t="s">
        <v>15</v>
      </c>
      <c r="F452" s="5">
        <v>15</v>
      </c>
      <c r="G452" s="4" t="s">
        <v>996</v>
      </c>
      <c r="H452" s="4" t="s">
        <v>107</v>
      </c>
      <c r="I452" s="4" t="s">
        <v>997</v>
      </c>
      <c r="J452" s="4" t="s">
        <v>25</v>
      </c>
      <c r="K452" s="4" t="s">
        <v>18</v>
      </c>
      <c r="L452" s="4" t="s">
        <v>998</v>
      </c>
      <c r="M452" s="6" t="str">
        <f>HYPERLINK("http://maps.google.com/maps?f=q&amp;hl=en&amp;geocode=&amp;q=-28.86023,153.56626")</f>
        <v>http://maps.google.com/maps?f=q&amp;hl=en&amp;geocode=&amp;q=-28.86023,153.56626</v>
      </c>
    </row>
    <row r="453" spans="1:13" ht="60" x14ac:dyDescent="0.25">
      <c r="A453" s="4" t="s">
        <v>992</v>
      </c>
      <c r="B453" s="4" t="s">
        <v>34</v>
      </c>
      <c r="C453" s="4" t="s">
        <v>14</v>
      </c>
      <c r="D453" s="4" t="s">
        <v>15</v>
      </c>
      <c r="F453" s="5">
        <v>17</v>
      </c>
      <c r="G453" s="4" t="s">
        <v>993</v>
      </c>
      <c r="H453" s="4" t="s">
        <v>61</v>
      </c>
      <c r="I453" s="4" t="s">
        <v>31</v>
      </c>
      <c r="J453" s="4" t="s">
        <v>31</v>
      </c>
      <c r="K453" s="4" t="s">
        <v>19</v>
      </c>
      <c r="L453" s="4" t="s">
        <v>994</v>
      </c>
      <c r="M453" s="6" t="str">
        <f>HYPERLINK("http://maps.google.com/maps?f=q&amp;hl=en&amp;geocode=&amp;q=-28.81432,153.34184")</f>
        <v>http://maps.google.com/maps?f=q&amp;hl=en&amp;geocode=&amp;q=-28.81432,153.34184</v>
      </c>
    </row>
    <row r="454" spans="1:13" ht="75" x14ac:dyDescent="0.25">
      <c r="A454" s="4" t="s">
        <v>988</v>
      </c>
      <c r="B454" s="4" t="s">
        <v>22</v>
      </c>
      <c r="C454" s="4" t="s">
        <v>14</v>
      </c>
      <c r="D454" s="4" t="s">
        <v>15</v>
      </c>
      <c r="F454" s="5" t="s">
        <v>747</v>
      </c>
      <c r="G454" s="4" t="s">
        <v>989</v>
      </c>
      <c r="H454" s="4" t="s">
        <v>296</v>
      </c>
      <c r="I454" s="4" t="s">
        <v>990</v>
      </c>
      <c r="J454" s="4" t="s">
        <v>31</v>
      </c>
      <c r="K454" s="4" t="s">
        <v>31</v>
      </c>
      <c r="L454" s="4" t="s">
        <v>991</v>
      </c>
      <c r="M454" s="6" t="str">
        <f>HYPERLINK("http://maps.google.com/maps?f=q&amp;hl=en&amp;geocode=&amp;q=-28.25359,153.5675599")</f>
        <v>http://maps.google.com/maps?f=q&amp;hl=en&amp;geocode=&amp;q=-28.25359,153.5675599</v>
      </c>
    </row>
    <row r="455" spans="1:13" ht="60" x14ac:dyDescent="0.25">
      <c r="A455" s="4" t="s">
        <v>984</v>
      </c>
      <c r="B455" s="4" t="s">
        <v>82</v>
      </c>
      <c r="C455" s="4" t="s">
        <v>70</v>
      </c>
      <c r="D455" s="4" t="s">
        <v>15</v>
      </c>
      <c r="F455" s="5">
        <v>19</v>
      </c>
      <c r="G455" s="4" t="s">
        <v>985</v>
      </c>
      <c r="H455" s="4" t="s">
        <v>832</v>
      </c>
      <c r="I455" s="4" t="s">
        <v>986</v>
      </c>
      <c r="J455" s="4" t="s">
        <v>18</v>
      </c>
      <c r="K455" s="4" t="s">
        <v>145</v>
      </c>
      <c r="L455" s="4" t="s">
        <v>987</v>
      </c>
      <c r="M455" s="6" t="str">
        <f>HYPERLINK("http://maps.google.com/maps?f=q&amp;hl=en&amp;geocode=&amp;q=-28.6912,153.60914")</f>
        <v>http://maps.google.com/maps?f=q&amp;hl=en&amp;geocode=&amp;q=-28.6912,153.60914</v>
      </c>
    </row>
    <row r="456" spans="1:13" ht="60" x14ac:dyDescent="0.25">
      <c r="A456" s="4" t="s">
        <v>982</v>
      </c>
      <c r="B456" s="4" t="s">
        <v>82</v>
      </c>
      <c r="C456" s="4" t="s">
        <v>14</v>
      </c>
      <c r="D456" s="4" t="s">
        <v>15</v>
      </c>
      <c r="F456" s="5">
        <v>15</v>
      </c>
      <c r="G456" s="4" t="s">
        <v>983</v>
      </c>
      <c r="H456" s="4" t="s">
        <v>154</v>
      </c>
      <c r="J456" s="4" t="s">
        <v>31</v>
      </c>
      <c r="K456" s="4" t="s">
        <v>25</v>
      </c>
      <c r="L456" s="4" t="s">
        <v>44</v>
      </c>
      <c r="M456" s="6" t="str">
        <f>HYPERLINK("http://maps.google.com/maps?f=q&amp;hl=en&amp;geocode=&amp;q=-28.49541,153.53628")</f>
        <v>http://maps.google.com/maps?f=q&amp;hl=en&amp;geocode=&amp;q=-28.49541,153.53628</v>
      </c>
    </row>
    <row r="457" spans="1:13" ht="60" x14ac:dyDescent="0.25">
      <c r="A457" s="4" t="s">
        <v>979</v>
      </c>
      <c r="B457" s="4" t="s">
        <v>22</v>
      </c>
      <c r="C457" s="4" t="s">
        <v>70</v>
      </c>
      <c r="D457" s="4" t="s">
        <v>15</v>
      </c>
      <c r="F457" s="5">
        <v>3</v>
      </c>
      <c r="G457" s="4" t="s">
        <v>980</v>
      </c>
      <c r="H457" s="4" t="s">
        <v>165</v>
      </c>
      <c r="I457" s="4" t="s">
        <v>981</v>
      </c>
      <c r="J457" s="4" t="s">
        <v>19</v>
      </c>
      <c r="K457" s="4" t="s">
        <v>18</v>
      </c>
      <c r="M457" s="6" t="str">
        <f>HYPERLINK("http://maps.google.com/maps?f=q&amp;hl=en&amp;geocode=&amp;q=-28.21567,153.53217")</f>
        <v>http://maps.google.com/maps?f=q&amp;hl=en&amp;geocode=&amp;q=-28.21567,153.53217</v>
      </c>
    </row>
    <row r="458" spans="1:13" ht="60" x14ac:dyDescent="0.25">
      <c r="A458" s="4" t="s">
        <v>973</v>
      </c>
      <c r="B458" s="4" t="s">
        <v>82</v>
      </c>
      <c r="C458" s="4" t="s">
        <v>70</v>
      </c>
      <c r="D458" s="4" t="s">
        <v>15</v>
      </c>
      <c r="F458" s="5" t="s">
        <v>974</v>
      </c>
      <c r="G458" s="4" t="s">
        <v>975</v>
      </c>
      <c r="H458" s="4" t="s">
        <v>976</v>
      </c>
      <c r="I458" s="4" t="s">
        <v>977</v>
      </c>
      <c r="J458" s="4" t="s">
        <v>18</v>
      </c>
      <c r="K458" s="4" t="s">
        <v>145</v>
      </c>
      <c r="L458" s="4" t="s">
        <v>978</v>
      </c>
      <c r="M458" s="6" t="str">
        <f>HYPERLINK("http://maps.google.com/maps?f=q&amp;hl=en&amp;geocode=&amp;q=-28.66383,153.49112")</f>
        <v>http://maps.google.com/maps?f=q&amp;hl=en&amp;geocode=&amp;q=-28.66383,153.49112</v>
      </c>
    </row>
    <row r="459" spans="1:13" ht="75" x14ac:dyDescent="0.25">
      <c r="A459" s="4" t="s">
        <v>969</v>
      </c>
      <c r="B459" s="4" t="s">
        <v>28</v>
      </c>
      <c r="C459" s="4" t="s">
        <v>70</v>
      </c>
      <c r="D459" s="4" t="s">
        <v>15</v>
      </c>
      <c r="F459" s="5">
        <v>39</v>
      </c>
      <c r="G459" s="4" t="s">
        <v>970</v>
      </c>
      <c r="H459" s="4" t="s">
        <v>30</v>
      </c>
      <c r="I459" s="4" t="s">
        <v>971</v>
      </c>
      <c r="J459" s="4" t="s">
        <v>31</v>
      </c>
      <c r="K459" s="4" t="s">
        <v>49</v>
      </c>
      <c r="L459" s="4" t="s">
        <v>972</v>
      </c>
      <c r="M459" s="6" t="str">
        <f>HYPERLINK("http://maps.google.com/maps?f=q&amp;hl=en&amp;geocode=&amp;q=-28.79835,153.5930799")</f>
        <v>http://maps.google.com/maps?f=q&amp;hl=en&amp;geocode=&amp;q=-28.79835,153.5930799</v>
      </c>
    </row>
    <row r="460" spans="1:13" ht="60" x14ac:dyDescent="0.25">
      <c r="A460" s="4" t="s">
        <v>962</v>
      </c>
      <c r="B460" s="4" t="s">
        <v>22</v>
      </c>
      <c r="C460" s="4" t="s">
        <v>14</v>
      </c>
      <c r="D460" s="4" t="s">
        <v>963</v>
      </c>
      <c r="E460" s="4" t="s">
        <v>964</v>
      </c>
      <c r="F460" s="5">
        <v>29</v>
      </c>
      <c r="G460" s="4" t="s">
        <v>965</v>
      </c>
      <c r="H460" s="4" t="s">
        <v>966</v>
      </c>
      <c r="I460" s="4" t="s">
        <v>967</v>
      </c>
      <c r="J460" s="4" t="s">
        <v>19</v>
      </c>
      <c r="K460" s="4" t="s">
        <v>57</v>
      </c>
      <c r="L460" s="4" t="s">
        <v>968</v>
      </c>
      <c r="M460" s="6" t="str">
        <f>HYPERLINK("http://maps.google.com/maps?f=q&amp;hl=en&amp;geocode=&amp;q=-28.45637,153.49567")</f>
        <v>http://maps.google.com/maps?f=q&amp;hl=en&amp;geocode=&amp;q=-28.45637,153.49567</v>
      </c>
    </row>
    <row r="461" spans="1:13" ht="60" x14ac:dyDescent="0.25">
      <c r="A461" s="4" t="s">
        <v>959</v>
      </c>
      <c r="B461" s="4" t="s">
        <v>22</v>
      </c>
      <c r="C461" s="4" t="s">
        <v>14</v>
      </c>
      <c r="D461" s="4" t="s">
        <v>15</v>
      </c>
      <c r="F461" s="5">
        <v>12</v>
      </c>
      <c r="G461" s="4" t="s">
        <v>960</v>
      </c>
      <c r="H461" s="4" t="s">
        <v>160</v>
      </c>
      <c r="I461" s="4" t="s">
        <v>961</v>
      </c>
      <c r="J461" s="4" t="s">
        <v>18</v>
      </c>
      <c r="K461" s="4" t="s">
        <v>19</v>
      </c>
      <c r="M461" s="6" t="str">
        <f>HYPERLINK("http://maps.google.com/maps?f=q&amp;hl=en&amp;geocode=&amp;q=-28.18529,153.52276")</f>
        <v>http://maps.google.com/maps?f=q&amp;hl=en&amp;geocode=&amp;q=-28.18529,153.52276</v>
      </c>
    </row>
    <row r="462" spans="1:13" ht="60" x14ac:dyDescent="0.25">
      <c r="A462" s="4" t="s">
        <v>955</v>
      </c>
      <c r="B462" s="4" t="s">
        <v>13</v>
      </c>
      <c r="C462" s="4" t="s">
        <v>14</v>
      </c>
      <c r="D462" s="4" t="s">
        <v>41</v>
      </c>
      <c r="F462" s="5">
        <v>3468</v>
      </c>
      <c r="G462" s="4" t="s">
        <v>956</v>
      </c>
      <c r="H462" s="4" t="s">
        <v>218</v>
      </c>
      <c r="I462" s="4" t="s">
        <v>957</v>
      </c>
      <c r="J462" s="4" t="s">
        <v>25</v>
      </c>
      <c r="K462" s="4" t="s">
        <v>49</v>
      </c>
      <c r="L462" s="4" t="s">
        <v>958</v>
      </c>
      <c r="M462" s="6" t="str">
        <f>HYPERLINK("http://maps.google.com/maps?f=q&amp;hl=en&amp;geocode=&amp;q=-28.86596,153.01496")</f>
        <v>http://maps.google.com/maps?f=q&amp;hl=en&amp;geocode=&amp;q=-28.86596,153.01496</v>
      </c>
    </row>
    <row r="463" spans="1:13" ht="60" x14ac:dyDescent="0.25">
      <c r="A463" s="4" t="s">
        <v>953</v>
      </c>
      <c r="B463" s="4" t="s">
        <v>13</v>
      </c>
      <c r="C463" s="4" t="s">
        <v>14</v>
      </c>
      <c r="D463" s="4" t="s">
        <v>15</v>
      </c>
      <c r="F463" s="5">
        <v>20</v>
      </c>
      <c r="G463" s="4" t="s">
        <v>954</v>
      </c>
      <c r="H463" s="4" t="s">
        <v>218</v>
      </c>
      <c r="I463" s="4" t="s">
        <v>710</v>
      </c>
      <c r="J463" s="4" t="s">
        <v>145</v>
      </c>
      <c r="K463" s="4" t="s">
        <v>19</v>
      </c>
      <c r="M463" s="6" t="str">
        <f>HYPERLINK("http://maps.google.com/maps?f=q&amp;hl=en&amp;geocode=&amp;q=-28.85879,153.06356")</f>
        <v>http://maps.google.com/maps?f=q&amp;hl=en&amp;geocode=&amp;q=-28.85879,153.06356</v>
      </c>
    </row>
    <row r="464" spans="1:13" ht="60" x14ac:dyDescent="0.25">
      <c r="A464" s="4" t="s">
        <v>949</v>
      </c>
      <c r="B464" s="4" t="s">
        <v>69</v>
      </c>
      <c r="C464" s="4" t="s">
        <v>14</v>
      </c>
      <c r="D464" s="4" t="s">
        <v>15</v>
      </c>
      <c r="F464" s="5">
        <v>7</v>
      </c>
      <c r="G464" s="4" t="s">
        <v>950</v>
      </c>
      <c r="H464" s="4" t="s">
        <v>951</v>
      </c>
      <c r="J464" s="4" t="s">
        <v>25</v>
      </c>
      <c r="K464" s="4" t="s">
        <v>44</v>
      </c>
      <c r="L464" s="4" t="s">
        <v>952</v>
      </c>
      <c r="M464" s="6" t="str">
        <f>HYPERLINK("http://maps.google.com/maps?f=q&amp;hl=en&amp;geocode=&amp;q=-29.35137,153.27919")</f>
        <v>http://maps.google.com/maps?f=q&amp;hl=en&amp;geocode=&amp;q=-29.35137,153.27919</v>
      </c>
    </row>
    <row r="465" spans="1:13" ht="60" x14ac:dyDescent="0.25">
      <c r="A465" s="4" t="s">
        <v>945</v>
      </c>
      <c r="B465" s="4" t="s">
        <v>22</v>
      </c>
      <c r="C465" s="4" t="s">
        <v>14</v>
      </c>
      <c r="D465" s="4" t="s">
        <v>15</v>
      </c>
      <c r="F465" s="5">
        <v>4</v>
      </c>
      <c r="G465" s="4" t="s">
        <v>946</v>
      </c>
      <c r="H465" s="4" t="s">
        <v>165</v>
      </c>
      <c r="I465" s="4" t="s">
        <v>947</v>
      </c>
      <c r="J465" s="4" t="s">
        <v>25</v>
      </c>
      <c r="K465" s="4" t="s">
        <v>19</v>
      </c>
      <c r="L465" s="4" t="s">
        <v>948</v>
      </c>
      <c r="M465" s="6" t="str">
        <f>HYPERLINK("http://maps.google.com/maps?f=q&amp;hl=en&amp;geocode=&amp;q=-28.22344,153.55016")</f>
        <v>http://maps.google.com/maps?f=q&amp;hl=en&amp;geocode=&amp;q=-28.22344,153.55016</v>
      </c>
    </row>
    <row r="466" spans="1:13" ht="60" x14ac:dyDescent="0.25">
      <c r="A466" s="4" t="s">
        <v>942</v>
      </c>
      <c r="B466" s="4" t="s">
        <v>28</v>
      </c>
      <c r="C466" s="4" t="s">
        <v>14</v>
      </c>
      <c r="D466" s="4" t="s">
        <v>15</v>
      </c>
      <c r="F466" s="5" t="s">
        <v>943</v>
      </c>
      <c r="G466" s="4" t="s">
        <v>944</v>
      </c>
      <c r="H466" s="4" t="s">
        <v>107</v>
      </c>
      <c r="J466" s="4" t="s">
        <v>19</v>
      </c>
      <c r="K466" s="4" t="s">
        <v>25</v>
      </c>
      <c r="M466" s="6" t="str">
        <f>HYPERLINK("http://maps.google.com/maps?f=q&amp;hl=en&amp;geocode=&amp;q=-28.85921,153.55139")</f>
        <v>http://maps.google.com/maps?f=q&amp;hl=en&amp;geocode=&amp;q=-28.85921,153.55139</v>
      </c>
    </row>
    <row r="467" spans="1:13" ht="60" x14ac:dyDescent="0.25">
      <c r="A467" s="4" t="s">
        <v>939</v>
      </c>
      <c r="B467" s="4" t="s">
        <v>22</v>
      </c>
      <c r="C467" s="4" t="s">
        <v>14</v>
      </c>
      <c r="D467" s="4" t="s">
        <v>15</v>
      </c>
      <c r="F467" s="5">
        <v>11</v>
      </c>
      <c r="G467" s="4" t="s">
        <v>940</v>
      </c>
      <c r="H467" s="4" t="s">
        <v>165</v>
      </c>
      <c r="I467" s="4" t="s">
        <v>941</v>
      </c>
      <c r="J467" s="4" t="s">
        <v>25</v>
      </c>
      <c r="K467" s="4" t="s">
        <v>49</v>
      </c>
      <c r="M467" s="6" t="str">
        <f>HYPERLINK("http://maps.google.com/maps?f=q&amp;hl=en&amp;geocode=&amp;q=-28.21589,153.55061")</f>
        <v>http://maps.google.com/maps?f=q&amp;hl=en&amp;geocode=&amp;q=-28.21589,153.55061</v>
      </c>
    </row>
    <row r="468" spans="1:13" ht="75" x14ac:dyDescent="0.25">
      <c r="A468" s="4" t="s">
        <v>934</v>
      </c>
      <c r="B468" s="4" t="s">
        <v>22</v>
      </c>
      <c r="C468" s="4" t="s">
        <v>14</v>
      </c>
      <c r="D468" s="4" t="s">
        <v>15</v>
      </c>
      <c r="F468" s="5">
        <v>10</v>
      </c>
      <c r="G468" s="4" t="s">
        <v>935</v>
      </c>
      <c r="H468" s="4" t="s">
        <v>936</v>
      </c>
      <c r="I468" s="4" t="s">
        <v>937</v>
      </c>
      <c r="J468" s="4" t="s">
        <v>38</v>
      </c>
      <c r="K468" s="4" t="s">
        <v>18</v>
      </c>
      <c r="L468" s="4" t="s">
        <v>938</v>
      </c>
      <c r="M468" s="6" t="str">
        <f>HYPERLINK("http://maps.google.com/maps?f=q&amp;hl=en&amp;geocode=&amp;q=-28.33575,153.5667599")</f>
        <v>http://maps.google.com/maps?f=q&amp;hl=en&amp;geocode=&amp;q=-28.33575,153.5667599</v>
      </c>
    </row>
    <row r="469" spans="1:13" ht="60" x14ac:dyDescent="0.25">
      <c r="A469" s="4" t="s">
        <v>932</v>
      </c>
      <c r="B469" s="4" t="s">
        <v>82</v>
      </c>
      <c r="C469" s="4" t="s">
        <v>14</v>
      </c>
      <c r="D469" s="4" t="s">
        <v>15</v>
      </c>
      <c r="F469" s="5">
        <v>30</v>
      </c>
      <c r="G469" s="4" t="s">
        <v>176</v>
      </c>
      <c r="H469" s="4" t="s">
        <v>154</v>
      </c>
      <c r="I469" s="4" t="s">
        <v>933</v>
      </c>
      <c r="J469" s="4" t="s">
        <v>74</v>
      </c>
      <c r="K469" s="4" t="s">
        <v>31</v>
      </c>
      <c r="L469" s="4" t="s">
        <v>25</v>
      </c>
      <c r="M469" s="6" t="str">
        <f>HYPERLINK("http://maps.google.com/maps?f=q&amp;hl=en&amp;geocode=&amp;q=-28.5291,153.54238")</f>
        <v>http://maps.google.com/maps?f=q&amp;hl=en&amp;geocode=&amp;q=-28.5291,153.54238</v>
      </c>
    </row>
    <row r="470" spans="1:13" ht="75" x14ac:dyDescent="0.25">
      <c r="A470" s="4" t="s">
        <v>928</v>
      </c>
      <c r="B470" s="4" t="s">
        <v>69</v>
      </c>
      <c r="C470" s="4" t="s">
        <v>14</v>
      </c>
      <c r="D470" s="4" t="s">
        <v>15</v>
      </c>
      <c r="F470" s="5">
        <v>117</v>
      </c>
      <c r="G470" s="4" t="s">
        <v>929</v>
      </c>
      <c r="H470" s="4" t="s">
        <v>349</v>
      </c>
      <c r="I470" s="4" t="s">
        <v>930</v>
      </c>
      <c r="J470" s="4" t="s">
        <v>38</v>
      </c>
      <c r="K470" s="4" t="s">
        <v>57</v>
      </c>
      <c r="L470" s="4" t="s">
        <v>931</v>
      </c>
      <c r="M470" s="6" t="str">
        <f>HYPERLINK("http://maps.google.com/maps?f=q&amp;hl=en&amp;geocode=&amp;q=-29.68111,152.9445299")</f>
        <v>http://maps.google.com/maps?f=q&amp;hl=en&amp;geocode=&amp;q=-29.68111,152.9445299</v>
      </c>
    </row>
    <row r="471" spans="1:13" ht="60" x14ac:dyDescent="0.25">
      <c r="A471" s="4" t="s">
        <v>924</v>
      </c>
      <c r="B471" s="4" t="s">
        <v>28</v>
      </c>
      <c r="C471" s="4" t="s">
        <v>70</v>
      </c>
      <c r="D471" s="4" t="s">
        <v>15</v>
      </c>
      <c r="F471" s="5">
        <v>1</v>
      </c>
      <c r="G471" s="4" t="s">
        <v>925</v>
      </c>
      <c r="H471" s="4" t="s">
        <v>121</v>
      </c>
      <c r="I471" s="4" t="s">
        <v>926</v>
      </c>
      <c r="J471" s="4" t="s">
        <v>44</v>
      </c>
      <c r="K471" s="4" t="s">
        <v>19</v>
      </c>
      <c r="L471" s="4" t="s">
        <v>927</v>
      </c>
      <c r="M471" s="6" t="str">
        <f>HYPERLINK("http://maps.google.com/maps?f=q&amp;hl=en&amp;geocode=&amp;q=-28.84514,153.4576")</f>
        <v>http://maps.google.com/maps?f=q&amp;hl=en&amp;geocode=&amp;q=-28.84514,153.4576</v>
      </c>
    </row>
    <row r="472" spans="1:13" ht="75" x14ac:dyDescent="0.25">
      <c r="A472" s="4" t="s">
        <v>920</v>
      </c>
      <c r="B472" s="4" t="s">
        <v>82</v>
      </c>
      <c r="C472" s="4" t="s">
        <v>14</v>
      </c>
      <c r="D472" s="4" t="s">
        <v>15</v>
      </c>
      <c r="F472" s="5">
        <v>43</v>
      </c>
      <c r="G472" s="4" t="s">
        <v>921</v>
      </c>
      <c r="H472" s="4" t="s">
        <v>191</v>
      </c>
      <c r="I472" s="4" t="s">
        <v>922</v>
      </c>
      <c r="J472" s="4" t="s">
        <v>18</v>
      </c>
      <c r="K472" s="4" t="s">
        <v>18</v>
      </c>
      <c r="L472" s="4" t="s">
        <v>923</v>
      </c>
      <c r="M472" s="6" t="str">
        <f>HYPERLINK("http://maps.google.com/maps?f=q&amp;hl=en&amp;geocode=&amp;q=-28.53974,153.5472399")</f>
        <v>http://maps.google.com/maps?f=q&amp;hl=en&amp;geocode=&amp;q=-28.53974,153.5472399</v>
      </c>
    </row>
    <row r="473" spans="1:13" ht="60" x14ac:dyDescent="0.25">
      <c r="A473" s="4" t="s">
        <v>918</v>
      </c>
      <c r="B473" s="4" t="s">
        <v>28</v>
      </c>
      <c r="C473" s="4" t="s">
        <v>70</v>
      </c>
      <c r="D473" s="4" t="s">
        <v>15</v>
      </c>
      <c r="F473" s="5">
        <v>1</v>
      </c>
      <c r="G473" s="4" t="s">
        <v>205</v>
      </c>
      <c r="H473" s="4" t="s">
        <v>30</v>
      </c>
      <c r="J473" s="4" t="s">
        <v>19</v>
      </c>
      <c r="K473" s="4" t="s">
        <v>25</v>
      </c>
      <c r="L473" s="4" t="s">
        <v>919</v>
      </c>
      <c r="M473" s="6" t="str">
        <f>HYPERLINK("http://maps.google.com/maps?f=q&amp;hl=en&amp;geocode=&amp;q=-28.82052,153.58727")</f>
        <v>http://maps.google.com/maps?f=q&amp;hl=en&amp;geocode=&amp;q=-28.82052,153.58727</v>
      </c>
    </row>
    <row r="474" spans="1:13" ht="60" x14ac:dyDescent="0.25">
      <c r="A474" s="4" t="s">
        <v>915</v>
      </c>
      <c r="B474" s="4" t="s">
        <v>28</v>
      </c>
      <c r="C474" s="4" t="s">
        <v>14</v>
      </c>
      <c r="D474" s="4" t="s">
        <v>15</v>
      </c>
      <c r="F474" s="5">
        <v>46</v>
      </c>
      <c r="G474" s="4" t="s">
        <v>916</v>
      </c>
      <c r="H474" s="4" t="s">
        <v>464</v>
      </c>
      <c r="J474" s="4" t="s">
        <v>25</v>
      </c>
      <c r="K474" s="4" t="s">
        <v>18</v>
      </c>
      <c r="L474" s="4" t="s">
        <v>917</v>
      </c>
      <c r="M474" s="6" t="str">
        <f>HYPERLINK("http://maps.google.com/maps?f=q&amp;hl=en&amp;geocode=&amp;q=-28.85044,153.57663")</f>
        <v>http://maps.google.com/maps?f=q&amp;hl=en&amp;geocode=&amp;q=-28.85044,153.57663</v>
      </c>
    </row>
    <row r="475" spans="1:13" ht="60" x14ac:dyDescent="0.25">
      <c r="A475" s="4" t="s">
        <v>912</v>
      </c>
      <c r="B475" s="4" t="s">
        <v>22</v>
      </c>
      <c r="C475" s="4" t="s">
        <v>14</v>
      </c>
      <c r="D475" s="4" t="s">
        <v>15</v>
      </c>
      <c r="F475" s="5">
        <v>2</v>
      </c>
      <c r="G475" s="4" t="s">
        <v>913</v>
      </c>
      <c r="H475" s="4" t="s">
        <v>110</v>
      </c>
      <c r="I475" s="4" t="s">
        <v>914</v>
      </c>
      <c r="J475" s="4" t="s">
        <v>49</v>
      </c>
      <c r="K475" s="4" t="s">
        <v>19</v>
      </c>
      <c r="M475" s="6" t="str">
        <f>HYPERLINK("http://maps.google.com/maps?f=q&amp;hl=en&amp;geocode=&amp;q=-28.33411,153.39628")</f>
        <v>http://maps.google.com/maps?f=q&amp;hl=en&amp;geocode=&amp;q=-28.33411,153.39628</v>
      </c>
    </row>
    <row r="476" spans="1:13" ht="60" x14ac:dyDescent="0.25">
      <c r="A476" s="4" t="s">
        <v>907</v>
      </c>
      <c r="B476" s="4" t="s">
        <v>22</v>
      </c>
      <c r="C476" s="4" t="s">
        <v>70</v>
      </c>
      <c r="D476" s="4" t="s">
        <v>15</v>
      </c>
      <c r="F476" s="5">
        <v>10</v>
      </c>
      <c r="G476" s="4" t="s">
        <v>908</v>
      </c>
      <c r="H476" s="4" t="s">
        <v>909</v>
      </c>
      <c r="I476" s="4" t="s">
        <v>910</v>
      </c>
      <c r="J476" s="4" t="s">
        <v>44</v>
      </c>
      <c r="K476" s="4" t="s">
        <v>19</v>
      </c>
      <c r="L476" s="4" t="s">
        <v>911</v>
      </c>
      <c r="M476" s="6" t="str">
        <f>HYPERLINK("http://maps.google.com/maps?f=q&amp;hl=en&amp;geocode=&amp;q=-28.23905,153.49147")</f>
        <v>http://maps.google.com/maps?f=q&amp;hl=en&amp;geocode=&amp;q=-28.23905,153.49147</v>
      </c>
    </row>
    <row r="477" spans="1:13" ht="60" x14ac:dyDescent="0.25">
      <c r="A477" s="4" t="s">
        <v>905</v>
      </c>
      <c r="B477" s="4" t="s">
        <v>82</v>
      </c>
      <c r="C477" s="4" t="s">
        <v>70</v>
      </c>
      <c r="D477" s="4" t="s">
        <v>15</v>
      </c>
      <c r="F477" s="5">
        <v>8</v>
      </c>
      <c r="G477" s="4" t="s">
        <v>729</v>
      </c>
      <c r="H477" s="4" t="s">
        <v>631</v>
      </c>
      <c r="I477" s="4" t="s">
        <v>906</v>
      </c>
      <c r="J477" s="4" t="s">
        <v>31</v>
      </c>
      <c r="M477" s="6" t="str">
        <f>HYPERLINK("http://maps.google.com/maps?f=q&amp;hl=en&amp;geocode=&amp;q=-28.68651,153.52097")</f>
        <v>http://maps.google.com/maps?f=q&amp;hl=en&amp;geocode=&amp;q=-28.68651,153.52097</v>
      </c>
    </row>
    <row r="478" spans="1:13" ht="60" x14ac:dyDescent="0.25">
      <c r="A478" s="4" t="s">
        <v>902</v>
      </c>
      <c r="B478" s="4" t="s">
        <v>82</v>
      </c>
      <c r="C478" s="4" t="s">
        <v>14</v>
      </c>
      <c r="D478" s="4" t="s">
        <v>15</v>
      </c>
      <c r="F478" s="5">
        <v>773</v>
      </c>
      <c r="G478" s="4" t="s">
        <v>903</v>
      </c>
      <c r="H478" s="4" t="s">
        <v>904</v>
      </c>
      <c r="J478" s="4" t="s">
        <v>19</v>
      </c>
      <c r="K478" s="4" t="s">
        <v>57</v>
      </c>
      <c r="M478" s="6" t="str">
        <f>HYPERLINK("http://maps.google.com/maps?f=q&amp;hl=en&amp;geocode=&amp;q=-28.50618,153.45928")</f>
        <v>http://maps.google.com/maps?f=q&amp;hl=en&amp;geocode=&amp;q=-28.50618,153.45928</v>
      </c>
    </row>
    <row r="479" spans="1:13" ht="60" x14ac:dyDescent="0.25">
      <c r="A479" s="4" t="s">
        <v>900</v>
      </c>
      <c r="B479" s="4" t="s">
        <v>82</v>
      </c>
      <c r="C479" s="4" t="s">
        <v>70</v>
      </c>
      <c r="D479" s="4" t="s">
        <v>15</v>
      </c>
      <c r="F479" s="5">
        <v>6</v>
      </c>
      <c r="G479" s="4" t="s">
        <v>753</v>
      </c>
      <c r="H479" s="4" t="s">
        <v>631</v>
      </c>
      <c r="I479" s="4" t="s">
        <v>117</v>
      </c>
      <c r="J479" s="4" t="s">
        <v>18</v>
      </c>
      <c r="K479" s="4" t="s">
        <v>19</v>
      </c>
      <c r="L479" s="4" t="s">
        <v>901</v>
      </c>
      <c r="M479" s="6" t="str">
        <f>HYPERLINK("http://maps.google.com/maps?f=q&amp;hl=en&amp;geocode=&amp;q=-28.6857,153.52069")</f>
        <v>http://maps.google.com/maps?f=q&amp;hl=en&amp;geocode=&amp;q=-28.6857,153.52069</v>
      </c>
    </row>
    <row r="480" spans="1:13" ht="60" x14ac:dyDescent="0.25">
      <c r="A480" s="4" t="s">
        <v>896</v>
      </c>
      <c r="B480" s="4" t="s">
        <v>22</v>
      </c>
      <c r="C480" s="4" t="s">
        <v>70</v>
      </c>
      <c r="D480" s="4" t="s">
        <v>15</v>
      </c>
      <c r="F480" s="5">
        <v>8</v>
      </c>
      <c r="G480" s="4" t="s">
        <v>897</v>
      </c>
      <c r="H480" s="4" t="s">
        <v>110</v>
      </c>
      <c r="I480" s="4" t="s">
        <v>898</v>
      </c>
      <c r="J480" s="4" t="s">
        <v>31</v>
      </c>
      <c r="K480" s="4" t="s">
        <v>44</v>
      </c>
      <c r="L480" s="4" t="s">
        <v>899</v>
      </c>
      <c r="M480" s="6" t="str">
        <f>HYPERLINK("http://maps.google.com/maps?f=q&amp;hl=en&amp;geocode=&amp;q=-28.32267,153.40577")</f>
        <v>http://maps.google.com/maps?f=q&amp;hl=en&amp;geocode=&amp;q=-28.32267,153.40577</v>
      </c>
    </row>
    <row r="481" spans="1:13" ht="60" x14ac:dyDescent="0.25">
      <c r="A481" s="4" t="s">
        <v>891</v>
      </c>
      <c r="B481" s="4" t="s">
        <v>22</v>
      </c>
      <c r="C481" s="4" t="s">
        <v>14</v>
      </c>
      <c r="D481" s="4" t="s">
        <v>15</v>
      </c>
      <c r="F481" s="5" t="s">
        <v>892</v>
      </c>
      <c r="G481" s="4" t="s">
        <v>893</v>
      </c>
      <c r="H481" s="4" t="s">
        <v>55</v>
      </c>
      <c r="I481" s="4" t="s">
        <v>894</v>
      </c>
      <c r="J481" s="4" t="s">
        <v>19</v>
      </c>
      <c r="K481" s="4" t="s">
        <v>251</v>
      </c>
      <c r="L481" s="4" t="s">
        <v>895</v>
      </c>
      <c r="M481" s="6" t="str">
        <f>HYPERLINK("http://maps.google.com/maps?f=q&amp;hl=en&amp;geocode=&amp;q=-28.1797,153.53727")</f>
        <v>http://maps.google.com/maps?f=q&amp;hl=en&amp;geocode=&amp;q=-28.1797,153.53727</v>
      </c>
    </row>
    <row r="482" spans="1:13" ht="60" x14ac:dyDescent="0.25">
      <c r="A482" s="4" t="s">
        <v>889</v>
      </c>
      <c r="B482" s="4" t="s">
        <v>82</v>
      </c>
      <c r="C482" s="4" t="s">
        <v>14</v>
      </c>
      <c r="D482" s="4" t="s">
        <v>15</v>
      </c>
      <c r="F482" s="5">
        <v>19</v>
      </c>
      <c r="G482" s="4" t="s">
        <v>890</v>
      </c>
      <c r="H482" s="4" t="s">
        <v>631</v>
      </c>
      <c r="J482" s="4" t="s">
        <v>19</v>
      </c>
      <c r="M482" s="6" t="str">
        <f>HYPERLINK("http://maps.google.com/maps?f=q&amp;hl=en&amp;geocode=&amp;q=-28.69111,153.51419")</f>
        <v>http://maps.google.com/maps?f=q&amp;hl=en&amp;geocode=&amp;q=-28.69111,153.51419</v>
      </c>
    </row>
    <row r="483" spans="1:13" ht="60" x14ac:dyDescent="0.25">
      <c r="A483" s="4" t="s">
        <v>887</v>
      </c>
      <c r="B483" s="4" t="s">
        <v>22</v>
      </c>
      <c r="C483" s="4" t="s">
        <v>14</v>
      </c>
      <c r="D483" s="4" t="s">
        <v>15</v>
      </c>
      <c r="F483" s="5">
        <v>37</v>
      </c>
      <c r="G483" s="4" t="s">
        <v>888</v>
      </c>
      <c r="H483" s="4" t="s">
        <v>165</v>
      </c>
      <c r="J483" s="4" t="s">
        <v>25</v>
      </c>
      <c r="K483" s="4" t="s">
        <v>31</v>
      </c>
      <c r="M483" s="6" t="str">
        <f>HYPERLINK("http://maps.google.com/maps?f=q&amp;hl=en&amp;geocode=&amp;q=-28.21465,153.53191")</f>
        <v>http://maps.google.com/maps?f=q&amp;hl=en&amp;geocode=&amp;q=-28.21465,153.53191</v>
      </c>
    </row>
    <row r="484" spans="1:13" ht="60" x14ac:dyDescent="0.25">
      <c r="A484" s="4" t="s">
        <v>882</v>
      </c>
      <c r="B484" s="4" t="s">
        <v>69</v>
      </c>
      <c r="C484" s="4" t="s">
        <v>14</v>
      </c>
      <c r="D484" s="4" t="s">
        <v>15</v>
      </c>
      <c r="F484" s="5">
        <v>33</v>
      </c>
      <c r="G484" s="4" t="s">
        <v>883</v>
      </c>
      <c r="H484" s="4" t="s">
        <v>884</v>
      </c>
      <c r="I484" s="4" t="s">
        <v>885</v>
      </c>
      <c r="J484" s="4" t="s">
        <v>18</v>
      </c>
      <c r="K484" s="4" t="s">
        <v>145</v>
      </c>
      <c r="L484" s="4" t="s">
        <v>886</v>
      </c>
      <c r="M484" s="6" t="str">
        <f>HYPERLINK("http://maps.google.com/maps?f=q&amp;hl=en&amp;geocode=&amp;q=-29.45748,153.20652")</f>
        <v>http://maps.google.com/maps?f=q&amp;hl=en&amp;geocode=&amp;q=-29.45748,153.20652</v>
      </c>
    </row>
    <row r="485" spans="1:13" ht="60" x14ac:dyDescent="0.25">
      <c r="A485" s="4" t="s">
        <v>879</v>
      </c>
      <c r="B485" s="4" t="s">
        <v>69</v>
      </c>
      <c r="C485" s="4" t="s">
        <v>14</v>
      </c>
      <c r="D485" s="4" t="s">
        <v>15</v>
      </c>
      <c r="F485" s="5">
        <v>4</v>
      </c>
      <c r="G485" s="4" t="s">
        <v>880</v>
      </c>
      <c r="H485" s="4" t="s">
        <v>143</v>
      </c>
      <c r="I485" s="4" t="s">
        <v>881</v>
      </c>
      <c r="J485" s="4" t="s">
        <v>57</v>
      </c>
      <c r="K485" s="4" t="s">
        <v>445</v>
      </c>
      <c r="M485" s="6" t="str">
        <f>HYPERLINK("http://maps.google.com/maps?f=q&amp;hl=en&amp;geocode=&amp;q=-29.49179,153.23979")</f>
        <v>http://maps.google.com/maps?f=q&amp;hl=en&amp;geocode=&amp;q=-29.49179,153.23979</v>
      </c>
    </row>
    <row r="486" spans="1:13" ht="60" x14ac:dyDescent="0.25">
      <c r="A486" s="4" t="s">
        <v>876</v>
      </c>
      <c r="B486" s="4" t="s">
        <v>82</v>
      </c>
      <c r="C486" s="4" t="s">
        <v>14</v>
      </c>
      <c r="D486" s="4" t="s">
        <v>15</v>
      </c>
      <c r="F486" s="5">
        <v>14</v>
      </c>
      <c r="G486" s="4" t="s">
        <v>877</v>
      </c>
      <c r="H486" s="4" t="s">
        <v>631</v>
      </c>
      <c r="I486" s="4" t="s">
        <v>878</v>
      </c>
      <c r="J486" s="4" t="s">
        <v>74</v>
      </c>
      <c r="K486" s="4" t="s">
        <v>19</v>
      </c>
      <c r="M486" s="6" t="str">
        <f>HYPERLINK("http://maps.google.com/maps?f=q&amp;hl=en&amp;geocode=&amp;q=-28.68589,153.51648")</f>
        <v>http://maps.google.com/maps?f=q&amp;hl=en&amp;geocode=&amp;q=-28.68589,153.51648</v>
      </c>
    </row>
    <row r="487" spans="1:13" ht="60" x14ac:dyDescent="0.25">
      <c r="A487" s="4" t="s">
        <v>872</v>
      </c>
      <c r="B487" s="4" t="s">
        <v>28</v>
      </c>
      <c r="C487" s="4" t="s">
        <v>14</v>
      </c>
      <c r="D487" s="4" t="s">
        <v>15</v>
      </c>
      <c r="F487" s="5">
        <v>6</v>
      </c>
      <c r="G487" s="4" t="s">
        <v>873</v>
      </c>
      <c r="H487" s="4" t="s">
        <v>30</v>
      </c>
      <c r="I487" s="4" t="s">
        <v>874</v>
      </c>
      <c r="J487" s="4" t="s">
        <v>19</v>
      </c>
      <c r="K487" s="4" t="s">
        <v>50</v>
      </c>
      <c r="L487" s="4" t="s">
        <v>875</v>
      </c>
      <c r="M487" s="6" t="str">
        <f>HYPERLINK("http://maps.google.com/maps?f=q&amp;hl=en&amp;geocode=&amp;q=-28.80404,153.58858")</f>
        <v>http://maps.google.com/maps?f=q&amp;hl=en&amp;geocode=&amp;q=-28.80404,153.58858</v>
      </c>
    </row>
    <row r="488" spans="1:13" ht="75" x14ac:dyDescent="0.25">
      <c r="A488" s="4" t="s">
        <v>869</v>
      </c>
      <c r="B488" s="4" t="s">
        <v>69</v>
      </c>
      <c r="C488" s="4" t="s">
        <v>70</v>
      </c>
      <c r="F488" s="5">
        <v>3</v>
      </c>
      <c r="G488" s="4" t="s">
        <v>870</v>
      </c>
      <c r="H488" s="4" t="s">
        <v>871</v>
      </c>
      <c r="J488" s="4" t="s">
        <v>117</v>
      </c>
      <c r="K488" s="4" t="s">
        <v>25</v>
      </c>
      <c r="M488" s="6" t="str">
        <f>HYPERLINK("http://maps.google.com/maps?f=q&amp;hl=en&amp;geocode=&amp;q=53.3413887023926,-6.26027822494507")</f>
        <v>http://maps.google.com/maps?f=q&amp;hl=en&amp;geocode=&amp;q=53.3413887023926,-6.26027822494507</v>
      </c>
    </row>
    <row r="489" spans="1:13" ht="60" x14ac:dyDescent="0.25">
      <c r="A489" s="4" t="s">
        <v>866</v>
      </c>
      <c r="B489" s="4" t="s">
        <v>13</v>
      </c>
      <c r="C489" s="4" t="s">
        <v>70</v>
      </c>
      <c r="D489" s="4" t="s">
        <v>15</v>
      </c>
      <c r="F489" s="5">
        <v>18</v>
      </c>
      <c r="G489" s="4" t="s">
        <v>867</v>
      </c>
      <c r="H489" s="4" t="s">
        <v>218</v>
      </c>
      <c r="I489" s="4" t="s">
        <v>868</v>
      </c>
      <c r="J489" s="4" t="s">
        <v>224</v>
      </c>
      <c r="K489" s="4" t="s">
        <v>19</v>
      </c>
      <c r="M489" s="6" t="str">
        <f>HYPERLINK("http://maps.google.com/maps?f=q&amp;hl=en&amp;geocode=&amp;q=-28.85802,153.04653")</f>
        <v>http://maps.google.com/maps?f=q&amp;hl=en&amp;geocode=&amp;q=-28.85802,153.04653</v>
      </c>
    </row>
    <row r="490" spans="1:13" ht="60" x14ac:dyDescent="0.25">
      <c r="A490" s="4" t="s">
        <v>864</v>
      </c>
      <c r="B490" s="4" t="s">
        <v>69</v>
      </c>
      <c r="C490" s="4" t="s">
        <v>14</v>
      </c>
      <c r="D490" s="4" t="s">
        <v>15</v>
      </c>
      <c r="F490" s="5">
        <v>3</v>
      </c>
      <c r="G490" s="4" t="s">
        <v>865</v>
      </c>
      <c r="H490" s="4" t="s">
        <v>861</v>
      </c>
      <c r="I490" s="4" t="s">
        <v>337</v>
      </c>
      <c r="J490" s="4" t="s">
        <v>31</v>
      </c>
      <c r="K490" s="4" t="s">
        <v>25</v>
      </c>
      <c r="M490" s="6" t="str">
        <f>HYPERLINK("http://maps.google.com/maps?f=q&amp;hl=en&amp;geocode=&amp;q=-29.46631,153.2207")</f>
        <v>http://maps.google.com/maps?f=q&amp;hl=en&amp;geocode=&amp;q=-29.46631,153.2207</v>
      </c>
    </row>
    <row r="491" spans="1:13" ht="60" x14ac:dyDescent="0.25">
      <c r="A491" s="4" t="s">
        <v>859</v>
      </c>
      <c r="B491" s="4" t="s">
        <v>69</v>
      </c>
      <c r="C491" s="4" t="s">
        <v>14</v>
      </c>
      <c r="D491" s="4" t="s">
        <v>15</v>
      </c>
      <c r="F491" s="5">
        <v>39</v>
      </c>
      <c r="G491" s="4" t="s">
        <v>860</v>
      </c>
      <c r="H491" s="4" t="s">
        <v>861</v>
      </c>
      <c r="I491" s="4" t="s">
        <v>862</v>
      </c>
      <c r="J491" s="4" t="s">
        <v>25</v>
      </c>
      <c r="K491" s="4" t="s">
        <v>18</v>
      </c>
      <c r="L491" s="4" t="s">
        <v>863</v>
      </c>
      <c r="M491" s="6" t="str">
        <f>HYPERLINK("http://maps.google.com/maps?f=q&amp;hl=en&amp;geocode=&amp;q=-29.46322,153.21783")</f>
        <v>http://maps.google.com/maps?f=q&amp;hl=en&amp;geocode=&amp;q=-29.46322,153.21783</v>
      </c>
    </row>
    <row r="492" spans="1:13" ht="75" x14ac:dyDescent="0.25">
      <c r="A492" s="4" t="s">
        <v>855</v>
      </c>
      <c r="B492" s="4" t="s">
        <v>22</v>
      </c>
      <c r="C492" s="4" t="s">
        <v>14</v>
      </c>
      <c r="D492" s="4" t="s">
        <v>15</v>
      </c>
      <c r="F492" s="5">
        <v>35</v>
      </c>
      <c r="G492" s="4" t="s">
        <v>856</v>
      </c>
      <c r="H492" s="4" t="s">
        <v>165</v>
      </c>
      <c r="I492" s="4" t="s">
        <v>857</v>
      </c>
      <c r="J492" s="4" t="s">
        <v>50</v>
      </c>
      <c r="K492" s="4" t="s">
        <v>50</v>
      </c>
      <c r="L492" s="4" t="s">
        <v>858</v>
      </c>
      <c r="M492" s="6" t="str">
        <f>HYPERLINK("http://maps.google.com/maps?f=q&amp;hl=en&amp;geocode=&amp;q=-28.2169911,153.5582516")</f>
        <v>http://maps.google.com/maps?f=q&amp;hl=en&amp;geocode=&amp;q=-28.2169911,153.5582516</v>
      </c>
    </row>
    <row r="493" spans="1:13" ht="60" x14ac:dyDescent="0.25">
      <c r="A493" s="4" t="s">
        <v>853</v>
      </c>
      <c r="B493" s="4" t="s">
        <v>28</v>
      </c>
      <c r="C493" s="4" t="s">
        <v>14</v>
      </c>
      <c r="D493" s="4" t="s">
        <v>15</v>
      </c>
      <c r="F493" s="5">
        <v>24</v>
      </c>
      <c r="G493" s="4" t="s">
        <v>208</v>
      </c>
      <c r="H493" s="4" t="s">
        <v>30</v>
      </c>
      <c r="I493" s="4" t="s">
        <v>854</v>
      </c>
      <c r="J493" s="4" t="s">
        <v>19</v>
      </c>
      <c r="K493" s="4" t="s">
        <v>49</v>
      </c>
      <c r="L493" s="4" t="s">
        <v>428</v>
      </c>
      <c r="M493" s="6" t="str">
        <f>HYPERLINK("http://maps.google.com/maps?f=q&amp;hl=en&amp;geocode=&amp;q=-28.80219,153.58892")</f>
        <v>http://maps.google.com/maps?f=q&amp;hl=en&amp;geocode=&amp;q=-28.80219,153.58892</v>
      </c>
    </row>
    <row r="494" spans="1:13" ht="60" x14ac:dyDescent="0.25">
      <c r="A494" s="4" t="s">
        <v>852</v>
      </c>
      <c r="B494" s="4" t="s">
        <v>22</v>
      </c>
      <c r="C494" s="4" t="s">
        <v>14</v>
      </c>
      <c r="D494" s="4" t="s">
        <v>15</v>
      </c>
      <c r="F494" s="5">
        <v>70</v>
      </c>
      <c r="G494" s="4" t="s">
        <v>694</v>
      </c>
      <c r="H494" s="4" t="s">
        <v>695</v>
      </c>
      <c r="I494" s="4" t="s">
        <v>850</v>
      </c>
      <c r="J494" s="4" t="s">
        <v>38</v>
      </c>
      <c r="K494" s="4" t="s">
        <v>31</v>
      </c>
      <c r="L494" s="4" t="s">
        <v>851</v>
      </c>
      <c r="M494" s="6" t="str">
        <f>HYPERLINK("http://maps.google.com/maps?f=q&amp;hl=en&amp;geocode=&amp;q=-28.3089,153.43534")</f>
        <v>http://maps.google.com/maps?f=q&amp;hl=en&amp;geocode=&amp;q=-28.3089,153.43534</v>
      </c>
    </row>
    <row r="495" spans="1:13" ht="60" x14ac:dyDescent="0.25">
      <c r="A495" s="4" t="s">
        <v>849</v>
      </c>
      <c r="B495" s="4" t="s">
        <v>22</v>
      </c>
      <c r="C495" s="4" t="s">
        <v>14</v>
      </c>
      <c r="D495" s="4" t="s">
        <v>15</v>
      </c>
      <c r="F495" s="5">
        <v>70</v>
      </c>
      <c r="G495" s="4" t="s">
        <v>694</v>
      </c>
      <c r="H495" s="4" t="s">
        <v>695</v>
      </c>
      <c r="I495" s="4" t="s">
        <v>850</v>
      </c>
      <c r="J495" s="4" t="s">
        <v>38</v>
      </c>
      <c r="K495" s="4" t="s">
        <v>31</v>
      </c>
      <c r="L495" s="4" t="s">
        <v>851</v>
      </c>
      <c r="M495" s="6" t="str">
        <f>HYPERLINK("http://maps.google.com/maps?f=q&amp;hl=en&amp;geocode=&amp;q=-28.3089,153.43534")</f>
        <v>http://maps.google.com/maps?f=q&amp;hl=en&amp;geocode=&amp;q=-28.3089,153.43534</v>
      </c>
    </row>
    <row r="496" spans="1:13" ht="60" x14ac:dyDescent="0.25">
      <c r="A496" s="4" t="s">
        <v>845</v>
      </c>
      <c r="B496" s="4" t="s">
        <v>28</v>
      </c>
      <c r="C496" s="4" t="s">
        <v>14</v>
      </c>
      <c r="D496" s="4" t="s">
        <v>15</v>
      </c>
      <c r="F496" s="5">
        <v>37</v>
      </c>
      <c r="G496" s="4" t="s">
        <v>846</v>
      </c>
      <c r="H496" s="4" t="s">
        <v>93</v>
      </c>
      <c r="I496" s="4" t="s">
        <v>847</v>
      </c>
      <c r="J496" s="4" t="s">
        <v>31</v>
      </c>
      <c r="K496" s="4" t="s">
        <v>145</v>
      </c>
      <c r="L496" s="4" t="s">
        <v>848</v>
      </c>
      <c r="M496" s="6" t="str">
        <f>HYPERLINK("http://maps.google.com/maps?f=q&amp;hl=en&amp;geocode=&amp;q=-28.8241,153.42138")</f>
        <v>http://maps.google.com/maps?f=q&amp;hl=en&amp;geocode=&amp;q=-28.8241,153.42138</v>
      </c>
    </row>
    <row r="497" spans="1:13" ht="60" x14ac:dyDescent="0.25">
      <c r="A497" s="4" t="s">
        <v>843</v>
      </c>
      <c r="B497" s="4" t="s">
        <v>22</v>
      </c>
      <c r="C497" s="4" t="s">
        <v>70</v>
      </c>
      <c r="D497" s="4" t="s">
        <v>15</v>
      </c>
      <c r="F497" s="5">
        <v>23</v>
      </c>
      <c r="G497" s="4" t="s">
        <v>844</v>
      </c>
      <c r="H497" s="4" t="s">
        <v>24</v>
      </c>
      <c r="I497" s="4" t="s">
        <v>18</v>
      </c>
      <c r="J497" s="4" t="s">
        <v>44</v>
      </c>
      <c r="M497" s="6" t="str">
        <f>HYPERLINK("http://maps.google.com/maps?f=q&amp;hl=en&amp;geocode=&amp;q=-28.33967,153.5648")</f>
        <v>http://maps.google.com/maps?f=q&amp;hl=en&amp;geocode=&amp;q=-28.33967,153.5648</v>
      </c>
    </row>
    <row r="498" spans="1:13" ht="60" x14ac:dyDescent="0.25">
      <c r="A498" s="4" t="s">
        <v>840</v>
      </c>
      <c r="B498" s="4" t="s">
        <v>22</v>
      </c>
      <c r="C498" s="4" t="s">
        <v>14</v>
      </c>
      <c r="D498" s="4" t="s">
        <v>15</v>
      </c>
      <c r="F498" s="5">
        <v>75</v>
      </c>
      <c r="G498" s="4" t="s">
        <v>841</v>
      </c>
      <c r="H498" s="4" t="s">
        <v>165</v>
      </c>
      <c r="I498" s="4" t="s">
        <v>842</v>
      </c>
      <c r="J498" s="4" t="s">
        <v>25</v>
      </c>
      <c r="K498" s="4" t="s">
        <v>57</v>
      </c>
      <c r="M498" s="6" t="str">
        <f>HYPERLINK("http://maps.google.com/maps?f=q&amp;hl=en&amp;geocode=&amp;q=-28.21522,153.5122")</f>
        <v>http://maps.google.com/maps?f=q&amp;hl=en&amp;geocode=&amp;q=-28.21522,153.5122</v>
      </c>
    </row>
    <row r="499" spans="1:13" ht="60" x14ac:dyDescent="0.25">
      <c r="A499" s="4" t="s">
        <v>837</v>
      </c>
      <c r="B499" s="4" t="s">
        <v>28</v>
      </c>
      <c r="C499" s="4" t="s">
        <v>70</v>
      </c>
      <c r="D499" s="4" t="s">
        <v>15</v>
      </c>
      <c r="F499" s="5">
        <v>5</v>
      </c>
      <c r="G499" s="4" t="s">
        <v>838</v>
      </c>
      <c r="H499" s="4" t="s">
        <v>107</v>
      </c>
      <c r="J499" s="4" t="s">
        <v>19</v>
      </c>
      <c r="K499" s="4" t="s">
        <v>57</v>
      </c>
      <c r="L499" s="4" t="s">
        <v>839</v>
      </c>
      <c r="M499" s="6" t="str">
        <f>HYPERLINK("http://maps.google.com/maps?f=q&amp;hl=en&amp;geocode=&amp;q=-28.86686,153.54766")</f>
        <v>http://maps.google.com/maps?f=q&amp;hl=en&amp;geocode=&amp;q=-28.86686,153.54766</v>
      </c>
    </row>
    <row r="500" spans="1:13" ht="60" x14ac:dyDescent="0.25">
      <c r="A500" s="4" t="s">
        <v>834</v>
      </c>
      <c r="B500" s="4" t="s">
        <v>34</v>
      </c>
      <c r="C500" s="4" t="s">
        <v>14</v>
      </c>
      <c r="D500" s="4" t="s">
        <v>15</v>
      </c>
      <c r="F500" s="5">
        <v>53</v>
      </c>
      <c r="G500" s="4" t="s">
        <v>835</v>
      </c>
      <c r="H500" s="4" t="s">
        <v>61</v>
      </c>
      <c r="I500" s="4" t="s">
        <v>836</v>
      </c>
      <c r="J500" s="4" t="s">
        <v>44</v>
      </c>
      <c r="K500" s="4" t="s">
        <v>18</v>
      </c>
      <c r="M500" s="6" t="str">
        <f>HYPERLINK("http://maps.google.com/maps?f=q&amp;hl=en&amp;geocode=&amp;q=-28.82787,153.32988")</f>
        <v>http://maps.google.com/maps?f=q&amp;hl=en&amp;geocode=&amp;q=-28.82787,153.32988</v>
      </c>
    </row>
    <row r="501" spans="1:13" ht="60" x14ac:dyDescent="0.25">
      <c r="A501" s="4" t="s">
        <v>830</v>
      </c>
      <c r="B501" s="4" t="s">
        <v>82</v>
      </c>
      <c r="C501" s="4" t="s">
        <v>70</v>
      </c>
      <c r="D501" s="4" t="s">
        <v>41</v>
      </c>
      <c r="F501" s="5">
        <v>11</v>
      </c>
      <c r="G501" s="4" t="s">
        <v>831</v>
      </c>
      <c r="H501" s="4" t="s">
        <v>832</v>
      </c>
      <c r="I501" s="4" t="s">
        <v>18</v>
      </c>
      <c r="J501" s="4" t="s">
        <v>18</v>
      </c>
      <c r="K501" s="4" t="s">
        <v>66</v>
      </c>
      <c r="L501" s="4" t="s">
        <v>833</v>
      </c>
      <c r="M501" s="6" t="str">
        <f>HYPERLINK("http://maps.google.com/maps?f=q&amp;hl=en&amp;geocode=&amp;q=-28.68303,153.60308")</f>
        <v>http://maps.google.com/maps?f=q&amp;hl=en&amp;geocode=&amp;q=-28.68303,153.60308</v>
      </c>
    </row>
    <row r="502" spans="1:13" ht="60" x14ac:dyDescent="0.25">
      <c r="A502" s="4" t="s">
        <v>826</v>
      </c>
      <c r="B502" s="4" t="s">
        <v>69</v>
      </c>
      <c r="C502" s="4" t="s">
        <v>70</v>
      </c>
      <c r="D502" s="4" t="s">
        <v>15</v>
      </c>
      <c r="F502" s="5">
        <v>97</v>
      </c>
      <c r="G502" s="4" t="s">
        <v>827</v>
      </c>
      <c r="H502" s="4" t="s">
        <v>765</v>
      </c>
      <c r="I502" s="4" t="s">
        <v>828</v>
      </c>
      <c r="J502" s="4" t="s">
        <v>38</v>
      </c>
      <c r="K502" s="4" t="s">
        <v>117</v>
      </c>
      <c r="L502" s="4" t="s">
        <v>829</v>
      </c>
      <c r="M502" s="6" t="str">
        <f>HYPERLINK("http://maps.google.com/maps?f=q&amp;hl=en&amp;geocode=&amp;q=-29.71289,152.93895")</f>
        <v>http://maps.google.com/maps?f=q&amp;hl=en&amp;geocode=&amp;q=-29.71289,152.93895</v>
      </c>
    </row>
    <row r="503" spans="1:13" ht="60" x14ac:dyDescent="0.25">
      <c r="A503" s="4" t="s">
        <v>824</v>
      </c>
      <c r="B503" s="4" t="s">
        <v>13</v>
      </c>
      <c r="C503" s="4" t="s">
        <v>14</v>
      </c>
      <c r="D503" s="4" t="s">
        <v>15</v>
      </c>
      <c r="F503" s="5">
        <v>28</v>
      </c>
      <c r="G503" s="4" t="s">
        <v>825</v>
      </c>
      <c r="H503" s="4" t="s">
        <v>218</v>
      </c>
      <c r="J503" s="4" t="s">
        <v>38</v>
      </c>
      <c r="K503" s="4" t="s">
        <v>19</v>
      </c>
      <c r="M503" s="6" t="str">
        <f>HYPERLINK("http://maps.google.com/maps?f=q&amp;hl=en&amp;geocode=&amp;q=-28.87334,153.04485")</f>
        <v>http://maps.google.com/maps?f=q&amp;hl=en&amp;geocode=&amp;q=-28.87334,153.04485</v>
      </c>
    </row>
    <row r="504" spans="1:13" ht="75" x14ac:dyDescent="0.25">
      <c r="A504" s="4" t="s">
        <v>820</v>
      </c>
      <c r="B504" s="4" t="s">
        <v>34</v>
      </c>
      <c r="C504" s="4" t="s">
        <v>14</v>
      </c>
      <c r="D504" s="4" t="s">
        <v>15</v>
      </c>
      <c r="F504" s="5">
        <v>9</v>
      </c>
      <c r="G504" s="4" t="s">
        <v>821</v>
      </c>
      <c r="H504" s="4" t="s">
        <v>186</v>
      </c>
      <c r="I504" s="4" t="s">
        <v>822</v>
      </c>
      <c r="J504" s="4" t="s">
        <v>31</v>
      </c>
      <c r="K504" s="4" t="s">
        <v>19</v>
      </c>
      <c r="L504" s="4" t="s">
        <v>823</v>
      </c>
      <c r="M504" s="6" t="str">
        <f>HYPERLINK("http://maps.google.com/maps?f=q&amp;hl=en&amp;geocode=&amp;q=-28.79866,153.3002799")</f>
        <v>http://maps.google.com/maps?f=q&amp;hl=en&amp;geocode=&amp;q=-28.79866,153.3002799</v>
      </c>
    </row>
    <row r="505" spans="1:13" ht="75" x14ac:dyDescent="0.25">
      <c r="A505" s="4" t="s">
        <v>817</v>
      </c>
      <c r="B505" s="4" t="s">
        <v>22</v>
      </c>
      <c r="C505" s="4" t="s">
        <v>14</v>
      </c>
      <c r="D505" s="4" t="s">
        <v>15</v>
      </c>
      <c r="F505" s="5">
        <v>13</v>
      </c>
      <c r="G505" s="4" t="s">
        <v>818</v>
      </c>
      <c r="H505" s="4" t="s">
        <v>24</v>
      </c>
      <c r="I505" s="4" t="s">
        <v>819</v>
      </c>
      <c r="J505" s="4" t="s">
        <v>18</v>
      </c>
      <c r="K505" s="4" t="s">
        <v>49</v>
      </c>
      <c r="L505" s="4" t="s">
        <v>819</v>
      </c>
      <c r="M505" s="6" t="str">
        <f>HYPERLINK("http://maps.google.com/maps?f=q&amp;hl=en&amp;geocode=&amp;q=-28.3372802734375,153.573791503906")</f>
        <v>http://maps.google.com/maps?f=q&amp;hl=en&amp;geocode=&amp;q=-28.3372802734375,153.573791503906</v>
      </c>
    </row>
    <row r="506" spans="1:13" ht="75" x14ac:dyDescent="0.25">
      <c r="A506" s="4" t="s">
        <v>813</v>
      </c>
      <c r="B506" s="4" t="s">
        <v>82</v>
      </c>
      <c r="C506" s="4" t="s">
        <v>14</v>
      </c>
      <c r="D506" s="4" t="s">
        <v>15</v>
      </c>
      <c r="F506" s="5" t="s">
        <v>814</v>
      </c>
      <c r="G506" s="4" t="s">
        <v>815</v>
      </c>
      <c r="H506" s="4" t="s">
        <v>631</v>
      </c>
      <c r="I506" s="4" t="s">
        <v>816</v>
      </c>
      <c r="J506" s="4" t="s">
        <v>31</v>
      </c>
      <c r="K506" s="4" t="s">
        <v>18</v>
      </c>
      <c r="L506" s="4" t="s">
        <v>19</v>
      </c>
      <c r="M506" s="6" t="str">
        <f>HYPERLINK("http://maps.google.com/maps?f=q&amp;hl=en&amp;geocode=&amp;q=-28.68364,153.5089999")</f>
        <v>http://maps.google.com/maps?f=q&amp;hl=en&amp;geocode=&amp;q=-28.68364,153.5089999</v>
      </c>
    </row>
    <row r="507" spans="1:13" ht="60" x14ac:dyDescent="0.25">
      <c r="A507" s="4" t="s">
        <v>810</v>
      </c>
      <c r="B507" s="4" t="s">
        <v>82</v>
      </c>
      <c r="C507" s="4" t="s">
        <v>14</v>
      </c>
      <c r="D507" s="4" t="s">
        <v>15</v>
      </c>
      <c r="F507" s="5">
        <v>31</v>
      </c>
      <c r="G507" s="4" t="s">
        <v>193</v>
      </c>
      <c r="H507" s="4" t="s">
        <v>194</v>
      </c>
      <c r="I507" s="4" t="s">
        <v>811</v>
      </c>
      <c r="J507" s="4" t="s">
        <v>224</v>
      </c>
      <c r="K507" s="4" t="s">
        <v>19</v>
      </c>
      <c r="L507" s="4" t="s">
        <v>812</v>
      </c>
      <c r="M507" s="6" t="str">
        <f>HYPERLINK("http://maps.google.com/maps?f=q&amp;hl=en&amp;geocode=&amp;q=-28.55548,153.50658")</f>
        <v>http://maps.google.com/maps?f=q&amp;hl=en&amp;geocode=&amp;q=-28.55548,153.50658</v>
      </c>
    </row>
    <row r="508" spans="1:13" ht="60" x14ac:dyDescent="0.25">
      <c r="A508" s="4" t="s">
        <v>806</v>
      </c>
      <c r="B508" s="4" t="s">
        <v>22</v>
      </c>
      <c r="C508" s="4" t="s">
        <v>14</v>
      </c>
      <c r="D508" s="4" t="s">
        <v>15</v>
      </c>
      <c r="F508" s="5" t="s">
        <v>807</v>
      </c>
      <c r="G508" s="4" t="s">
        <v>808</v>
      </c>
      <c r="H508" s="4" t="s">
        <v>296</v>
      </c>
      <c r="I508" s="4" t="s">
        <v>809</v>
      </c>
      <c r="J508" s="4" t="s">
        <v>145</v>
      </c>
      <c r="K508" s="4" t="s">
        <v>18</v>
      </c>
      <c r="M508" s="6" t="str">
        <f>HYPERLINK("http://maps.google.com/maps?f=q&amp;hl=en&amp;geocode=&amp;q=-28.28396,153.57398")</f>
        <v>http://maps.google.com/maps?f=q&amp;hl=en&amp;geocode=&amp;q=-28.28396,153.57398</v>
      </c>
    </row>
    <row r="509" spans="1:13" ht="75" x14ac:dyDescent="0.25">
      <c r="A509" s="4" t="s">
        <v>801</v>
      </c>
      <c r="B509" s="4" t="s">
        <v>126</v>
      </c>
      <c r="C509" s="4" t="s">
        <v>14</v>
      </c>
      <c r="D509" s="4" t="s">
        <v>15</v>
      </c>
      <c r="F509" s="5">
        <v>11</v>
      </c>
      <c r="G509" s="4" t="s">
        <v>802</v>
      </c>
      <c r="H509" s="4" t="s">
        <v>803</v>
      </c>
      <c r="I509" s="4" t="s">
        <v>804</v>
      </c>
      <c r="J509" s="4" t="s">
        <v>38</v>
      </c>
      <c r="K509" s="4" t="s">
        <v>19</v>
      </c>
      <c r="L509" s="4" t="s">
        <v>805</v>
      </c>
      <c r="M509" s="6" t="str">
        <f>HYPERLINK("http://maps.google.com/maps?f=q&amp;hl=en&amp;geocode=&amp;q=-28.61404,152.9845599")</f>
        <v>http://maps.google.com/maps?f=q&amp;hl=en&amp;geocode=&amp;q=-28.61404,152.9845599</v>
      </c>
    </row>
    <row r="510" spans="1:13" ht="60" x14ac:dyDescent="0.25">
      <c r="A510" s="4" t="s">
        <v>798</v>
      </c>
      <c r="B510" s="4" t="s">
        <v>69</v>
      </c>
      <c r="C510" s="4" t="s">
        <v>14</v>
      </c>
      <c r="D510" s="4" t="s">
        <v>15</v>
      </c>
      <c r="F510" s="5">
        <v>258</v>
      </c>
      <c r="G510" s="4" t="s">
        <v>799</v>
      </c>
      <c r="H510" s="4" t="s">
        <v>765</v>
      </c>
      <c r="J510" s="4" t="s">
        <v>251</v>
      </c>
      <c r="K510" s="4" t="s">
        <v>49</v>
      </c>
      <c r="L510" s="4" t="s">
        <v>800</v>
      </c>
      <c r="M510" s="6" t="str">
        <f>HYPERLINK("http://maps.google.com/maps?f=q&amp;hl=en&amp;geocode=&amp;q=-29.72075,152.93197")</f>
        <v>http://maps.google.com/maps?f=q&amp;hl=en&amp;geocode=&amp;q=-29.72075,152.93197</v>
      </c>
    </row>
    <row r="511" spans="1:13" ht="60" x14ac:dyDescent="0.25">
      <c r="A511" s="4" t="s">
        <v>794</v>
      </c>
      <c r="B511" s="4" t="s">
        <v>69</v>
      </c>
      <c r="C511" s="4" t="s">
        <v>14</v>
      </c>
      <c r="D511" s="4" t="s">
        <v>15</v>
      </c>
      <c r="F511" s="5">
        <v>418</v>
      </c>
      <c r="G511" s="4" t="s">
        <v>795</v>
      </c>
      <c r="H511" s="4" t="s">
        <v>349</v>
      </c>
      <c r="I511" s="4" t="s">
        <v>796</v>
      </c>
      <c r="J511" s="4" t="s">
        <v>19</v>
      </c>
      <c r="K511" s="4" t="s">
        <v>25</v>
      </c>
      <c r="L511" s="4" t="s">
        <v>797</v>
      </c>
      <c r="M511" s="6" t="str">
        <f>HYPERLINK("http://maps.google.com/maps?f=q&amp;hl=en&amp;geocode=&amp;q=-29.66839,152.91752")</f>
        <v>http://maps.google.com/maps?f=q&amp;hl=en&amp;geocode=&amp;q=-29.66839,152.91752</v>
      </c>
    </row>
    <row r="512" spans="1:13" ht="60" x14ac:dyDescent="0.25">
      <c r="A512" s="4" t="s">
        <v>790</v>
      </c>
      <c r="B512" s="4" t="s">
        <v>28</v>
      </c>
      <c r="C512" s="4" t="s">
        <v>14</v>
      </c>
      <c r="D512" s="4" t="s">
        <v>15</v>
      </c>
      <c r="F512" s="5">
        <v>39</v>
      </c>
      <c r="G512" s="4" t="s">
        <v>791</v>
      </c>
      <c r="H512" s="4" t="s">
        <v>121</v>
      </c>
      <c r="I512" s="4" t="s">
        <v>792</v>
      </c>
      <c r="J512" s="4" t="s">
        <v>31</v>
      </c>
      <c r="K512" s="4" t="s">
        <v>19</v>
      </c>
      <c r="L512" s="4" t="s">
        <v>793</v>
      </c>
      <c r="M512" s="6" t="str">
        <f>HYPERLINK("http://maps.google.com/maps?f=q&amp;hl=en&amp;geocode=&amp;q=-28.84447,153.44929")</f>
        <v>http://maps.google.com/maps?f=q&amp;hl=en&amp;geocode=&amp;q=-28.84447,153.44929</v>
      </c>
    </row>
    <row r="513" spans="1:13" ht="60" x14ac:dyDescent="0.25">
      <c r="A513" s="4" t="s">
        <v>785</v>
      </c>
      <c r="B513" s="4" t="s">
        <v>22</v>
      </c>
      <c r="C513" s="4" t="s">
        <v>14</v>
      </c>
      <c r="D513" s="4" t="s">
        <v>41</v>
      </c>
      <c r="F513" s="5" t="s">
        <v>786</v>
      </c>
      <c r="G513" s="4" t="s">
        <v>787</v>
      </c>
      <c r="H513" s="4" t="s">
        <v>160</v>
      </c>
      <c r="I513" s="4" t="s">
        <v>788</v>
      </c>
      <c r="J513" s="4" t="s">
        <v>25</v>
      </c>
      <c r="K513" s="4" t="s">
        <v>31</v>
      </c>
      <c r="L513" s="4" t="s">
        <v>789</v>
      </c>
      <c r="M513" s="6" t="str">
        <f>HYPERLINK("http://maps.google.com/maps?f=q&amp;hl=en&amp;geocode=&amp;q=-28.19254,153.50814")</f>
        <v>http://maps.google.com/maps?f=q&amp;hl=en&amp;geocode=&amp;q=-28.19254,153.50814</v>
      </c>
    </row>
    <row r="514" spans="1:13" ht="60" x14ac:dyDescent="0.25">
      <c r="A514" s="4" t="s">
        <v>782</v>
      </c>
      <c r="B514" s="4" t="s">
        <v>82</v>
      </c>
      <c r="C514" s="4" t="s">
        <v>14</v>
      </c>
      <c r="D514" s="4" t="s">
        <v>15</v>
      </c>
      <c r="F514" s="5">
        <v>7</v>
      </c>
      <c r="G514" s="4" t="s">
        <v>650</v>
      </c>
      <c r="H514" s="4" t="s">
        <v>194</v>
      </c>
      <c r="I514" s="4" t="s">
        <v>783</v>
      </c>
      <c r="J514" s="4" t="s">
        <v>18</v>
      </c>
      <c r="K514" s="4" t="s">
        <v>25</v>
      </c>
      <c r="L514" s="4" t="s">
        <v>784</v>
      </c>
      <c r="M514" s="6" t="str">
        <f>HYPERLINK("http://maps.google.com/maps?f=q&amp;hl=en&amp;geocode=&amp;q=-28.5559,153.5042")</f>
        <v>http://maps.google.com/maps?f=q&amp;hl=en&amp;geocode=&amp;q=-28.5559,153.5042</v>
      </c>
    </row>
    <row r="515" spans="1:13" ht="60" x14ac:dyDescent="0.25">
      <c r="A515" s="4" t="s">
        <v>779</v>
      </c>
      <c r="B515" s="4" t="s">
        <v>22</v>
      </c>
      <c r="C515" s="4" t="s">
        <v>70</v>
      </c>
      <c r="D515" s="4" t="s">
        <v>15</v>
      </c>
      <c r="F515" s="5">
        <v>38</v>
      </c>
      <c r="G515" s="4" t="s">
        <v>780</v>
      </c>
      <c r="H515" s="4" t="s">
        <v>110</v>
      </c>
      <c r="J515" s="4" t="s">
        <v>19</v>
      </c>
      <c r="K515" s="4" t="s">
        <v>25</v>
      </c>
      <c r="L515" s="4" t="s">
        <v>781</v>
      </c>
      <c r="M515" s="6" t="str">
        <f>HYPERLINK("http://maps.google.com/maps?f=q&amp;hl=en&amp;geocode=&amp;q=-28.33352,153.40276")</f>
        <v>http://maps.google.com/maps?f=q&amp;hl=en&amp;geocode=&amp;q=-28.33352,153.40276</v>
      </c>
    </row>
    <row r="516" spans="1:13" ht="60" x14ac:dyDescent="0.25">
      <c r="A516" s="4" t="s">
        <v>776</v>
      </c>
      <c r="B516" s="4" t="s">
        <v>34</v>
      </c>
      <c r="C516" s="4" t="s">
        <v>14</v>
      </c>
      <c r="D516" s="4" t="s">
        <v>15</v>
      </c>
      <c r="F516" s="5">
        <v>121</v>
      </c>
      <c r="G516" s="4" t="s">
        <v>777</v>
      </c>
      <c r="H516" s="4" t="s">
        <v>245</v>
      </c>
      <c r="J516" s="4" t="s">
        <v>19</v>
      </c>
      <c r="K516" s="4" t="s">
        <v>31</v>
      </c>
      <c r="L516" s="4" t="s">
        <v>778</v>
      </c>
      <c r="M516" s="6" t="str">
        <f>HYPERLINK("http://maps.google.com/maps?f=q&amp;hl=en&amp;geocode=&amp;q=-28.80855,153.28745")</f>
        <v>http://maps.google.com/maps?f=q&amp;hl=en&amp;geocode=&amp;q=-28.80855,153.28745</v>
      </c>
    </row>
    <row r="517" spans="1:13" ht="60" x14ac:dyDescent="0.25">
      <c r="A517" s="4" t="s">
        <v>773</v>
      </c>
      <c r="B517" s="4" t="s">
        <v>34</v>
      </c>
      <c r="C517" s="4" t="s">
        <v>14</v>
      </c>
      <c r="D517" s="4" t="s">
        <v>15</v>
      </c>
      <c r="F517" s="5">
        <v>79</v>
      </c>
      <c r="G517" s="4" t="s">
        <v>774</v>
      </c>
      <c r="H517" s="4" t="s">
        <v>403</v>
      </c>
      <c r="J517" s="4" t="s">
        <v>31</v>
      </c>
      <c r="K517" s="4" t="s">
        <v>66</v>
      </c>
      <c r="L517" s="4" t="s">
        <v>775</v>
      </c>
      <c r="M517" s="6" t="str">
        <f>HYPERLINK("http://maps.google.com/maps?f=q&amp;hl=en&amp;geocode=&amp;q=-28.8921,153.30745")</f>
        <v>http://maps.google.com/maps?f=q&amp;hl=en&amp;geocode=&amp;q=-28.8921,153.30745</v>
      </c>
    </row>
    <row r="518" spans="1:13" ht="60" x14ac:dyDescent="0.25">
      <c r="A518" s="4" t="s">
        <v>770</v>
      </c>
      <c r="B518" s="4" t="s">
        <v>82</v>
      </c>
      <c r="C518" s="4" t="s">
        <v>14</v>
      </c>
      <c r="D518" s="4" t="s">
        <v>15</v>
      </c>
      <c r="F518" s="5">
        <v>3</v>
      </c>
      <c r="G518" s="4" t="s">
        <v>771</v>
      </c>
      <c r="H518" s="4" t="s">
        <v>194</v>
      </c>
      <c r="I518" s="4" t="s">
        <v>772</v>
      </c>
      <c r="J518" s="4" t="s">
        <v>117</v>
      </c>
      <c r="K518" s="4" t="s">
        <v>25</v>
      </c>
      <c r="L518" s="4" t="s">
        <v>19</v>
      </c>
      <c r="M518" s="6" t="str">
        <f>HYPERLINK("http://maps.google.com/maps?f=q&amp;hl=en&amp;geocode=&amp;q=-28.556,153.4985")</f>
        <v>http://maps.google.com/maps?f=q&amp;hl=en&amp;geocode=&amp;q=-28.556,153.4985</v>
      </c>
    </row>
    <row r="519" spans="1:13" ht="60" x14ac:dyDescent="0.25">
      <c r="A519" s="4" t="s">
        <v>767</v>
      </c>
      <c r="B519" s="4" t="s">
        <v>34</v>
      </c>
      <c r="C519" s="4" t="s">
        <v>14</v>
      </c>
      <c r="D519" s="4" t="s">
        <v>15</v>
      </c>
      <c r="F519" s="5">
        <v>38</v>
      </c>
      <c r="G519" s="4" t="s">
        <v>768</v>
      </c>
      <c r="H519" s="4" t="s">
        <v>186</v>
      </c>
      <c r="J519" s="4" t="s">
        <v>25</v>
      </c>
      <c r="K519" s="4" t="s">
        <v>19</v>
      </c>
      <c r="L519" s="4" t="s">
        <v>769</v>
      </c>
      <c r="M519" s="6" t="str">
        <f>HYPERLINK("http://maps.google.com/maps?f=q&amp;hl=en&amp;geocode=&amp;q=-28.80386,153.30612")</f>
        <v>http://maps.google.com/maps?f=q&amp;hl=en&amp;geocode=&amp;q=-28.80386,153.30612</v>
      </c>
    </row>
    <row r="520" spans="1:13" ht="60" x14ac:dyDescent="0.25">
      <c r="A520" s="4" t="s">
        <v>763</v>
      </c>
      <c r="B520" s="4" t="s">
        <v>69</v>
      </c>
      <c r="C520" s="4" t="s">
        <v>14</v>
      </c>
      <c r="D520" s="4" t="s">
        <v>15</v>
      </c>
      <c r="F520" s="5">
        <v>53</v>
      </c>
      <c r="G520" s="4" t="s">
        <v>764</v>
      </c>
      <c r="H520" s="4" t="s">
        <v>765</v>
      </c>
      <c r="I520" s="4" t="s">
        <v>766</v>
      </c>
      <c r="J520" s="4" t="s">
        <v>25</v>
      </c>
      <c r="K520" s="4" t="s">
        <v>50</v>
      </c>
      <c r="M520" s="6" t="str">
        <f>HYPERLINK("http://maps.google.com/maps?f=q&amp;hl=en&amp;geocode=&amp;q=-29.7184,152.92811")</f>
        <v>http://maps.google.com/maps?f=q&amp;hl=en&amp;geocode=&amp;q=-29.7184,152.92811</v>
      </c>
    </row>
    <row r="521" spans="1:13" ht="60" x14ac:dyDescent="0.25">
      <c r="A521" s="4" t="s">
        <v>760</v>
      </c>
      <c r="B521" s="4" t="s">
        <v>28</v>
      </c>
      <c r="C521" s="4" t="s">
        <v>14</v>
      </c>
      <c r="D521" s="4" t="s">
        <v>15</v>
      </c>
      <c r="F521" s="5">
        <v>11</v>
      </c>
      <c r="G521" s="4" t="s">
        <v>761</v>
      </c>
      <c r="H521" s="4" t="s">
        <v>93</v>
      </c>
      <c r="I521" s="4" t="s">
        <v>762</v>
      </c>
      <c r="J521" s="4" t="s">
        <v>25</v>
      </c>
      <c r="K521" s="4" t="s">
        <v>445</v>
      </c>
      <c r="M521" s="6" t="str">
        <f>HYPERLINK("http://maps.google.com/maps?f=q&amp;hl=en&amp;geocode=&amp;q=-28.8234,153.41835")</f>
        <v>http://maps.google.com/maps?f=q&amp;hl=en&amp;geocode=&amp;q=-28.8234,153.41835</v>
      </c>
    </row>
    <row r="522" spans="1:13" ht="75" x14ac:dyDescent="0.25">
      <c r="A522" s="4" t="s">
        <v>757</v>
      </c>
      <c r="B522" s="4" t="s">
        <v>22</v>
      </c>
      <c r="C522" s="4" t="s">
        <v>14</v>
      </c>
      <c r="D522" s="4" t="s">
        <v>15</v>
      </c>
      <c r="F522" s="5">
        <v>206</v>
      </c>
      <c r="G522" s="4" t="s">
        <v>758</v>
      </c>
      <c r="H522" s="4" t="s">
        <v>521</v>
      </c>
      <c r="I522" s="4" t="s">
        <v>57</v>
      </c>
      <c r="J522" s="4" t="s">
        <v>57</v>
      </c>
      <c r="K522" s="4" t="s">
        <v>19</v>
      </c>
      <c r="L522" s="4" t="s">
        <v>759</v>
      </c>
      <c r="M522" s="6" t="str">
        <f>HYPERLINK("http://maps.google.com/maps?f=q&amp;hl=en&amp;geocode=&amp;q=-28.19566,153.5212699")</f>
        <v>http://maps.google.com/maps?f=q&amp;hl=en&amp;geocode=&amp;q=-28.19566,153.5212699</v>
      </c>
    </row>
    <row r="523" spans="1:13" ht="60" x14ac:dyDescent="0.25">
      <c r="A523" s="4" t="s">
        <v>752</v>
      </c>
      <c r="B523" s="4" t="s">
        <v>28</v>
      </c>
      <c r="C523" s="4" t="s">
        <v>70</v>
      </c>
      <c r="D523" s="4" t="s">
        <v>15</v>
      </c>
      <c r="F523" s="5">
        <v>10</v>
      </c>
      <c r="G523" s="4" t="s">
        <v>754</v>
      </c>
      <c r="H523" s="4" t="s">
        <v>464</v>
      </c>
      <c r="I523" s="4" t="s">
        <v>755</v>
      </c>
      <c r="J523" s="4" t="s">
        <v>19</v>
      </c>
      <c r="K523" s="4" t="s">
        <v>31</v>
      </c>
      <c r="L523" s="4" t="s">
        <v>756</v>
      </c>
      <c r="M523" s="6" t="str">
        <f>HYPERLINK("http://maps.google.com/maps?f=q&amp;hl=en&amp;geocode=&amp;q=-28.85863,153.58262")</f>
        <v>http://maps.google.com/maps?f=q&amp;hl=en&amp;geocode=&amp;q=-28.85863,153.58262</v>
      </c>
    </row>
    <row r="524" spans="1:13" ht="60" x14ac:dyDescent="0.25">
      <c r="A524" s="4" t="s">
        <v>751</v>
      </c>
      <c r="B524" s="4" t="s">
        <v>69</v>
      </c>
      <c r="C524" s="4" t="s">
        <v>14</v>
      </c>
      <c r="D524" s="4" t="s">
        <v>15</v>
      </c>
      <c r="F524" s="5" t="s">
        <v>747</v>
      </c>
      <c r="G524" s="4" t="s">
        <v>748</v>
      </c>
      <c r="H524" s="4" t="s">
        <v>72</v>
      </c>
      <c r="I524" s="4" t="s">
        <v>749</v>
      </c>
      <c r="J524" s="4" t="s">
        <v>31</v>
      </c>
      <c r="K524" s="4" t="s">
        <v>49</v>
      </c>
      <c r="L524" s="4" t="s">
        <v>750</v>
      </c>
      <c r="M524" s="6" t="str">
        <f>HYPERLINK("http://maps.google.com/maps?f=q&amp;hl=en&amp;geocode=&amp;q=-29.43702,153.3588")</f>
        <v>http://maps.google.com/maps?f=q&amp;hl=en&amp;geocode=&amp;q=-29.43702,153.3588</v>
      </c>
    </row>
    <row r="525" spans="1:13" ht="60" x14ac:dyDescent="0.25">
      <c r="A525" s="4" t="s">
        <v>746</v>
      </c>
      <c r="B525" s="4" t="s">
        <v>69</v>
      </c>
      <c r="C525" s="4" t="s">
        <v>14</v>
      </c>
      <c r="D525" s="4" t="s">
        <v>15</v>
      </c>
      <c r="F525" s="5" t="s">
        <v>747</v>
      </c>
      <c r="G525" s="4" t="s">
        <v>748</v>
      </c>
      <c r="H525" s="4" t="s">
        <v>72</v>
      </c>
      <c r="I525" s="4" t="s">
        <v>749</v>
      </c>
      <c r="J525" s="4" t="s">
        <v>31</v>
      </c>
      <c r="K525" s="4" t="s">
        <v>19</v>
      </c>
      <c r="L525" s="4" t="s">
        <v>750</v>
      </c>
      <c r="M525" s="6" t="str">
        <f>HYPERLINK("http://maps.google.com/maps?f=q&amp;hl=en&amp;geocode=&amp;q=-29.43702,153.3588")</f>
        <v>http://maps.google.com/maps?f=q&amp;hl=en&amp;geocode=&amp;q=-29.43702,153.3588</v>
      </c>
    </row>
    <row r="526" spans="1:13" ht="60" x14ac:dyDescent="0.25">
      <c r="A526" s="4" t="s">
        <v>741</v>
      </c>
      <c r="B526" s="4" t="s">
        <v>82</v>
      </c>
      <c r="C526" s="4" t="s">
        <v>70</v>
      </c>
      <c r="D526" s="4" t="s">
        <v>15</v>
      </c>
      <c r="F526" s="5" t="s">
        <v>742</v>
      </c>
      <c r="G526" s="4" t="s">
        <v>743</v>
      </c>
      <c r="H526" s="4" t="s">
        <v>194</v>
      </c>
      <c r="I526" s="4" t="s">
        <v>744</v>
      </c>
      <c r="J526" s="4" t="s">
        <v>18</v>
      </c>
      <c r="K526" s="4" t="s">
        <v>19</v>
      </c>
      <c r="L526" s="4" t="s">
        <v>745</v>
      </c>
      <c r="M526" s="6" t="str">
        <f>HYPERLINK("http://maps.google.com/maps?f=q&amp;hl=en&amp;geocode=&amp;q=-28.55136,153.49118")</f>
        <v>http://maps.google.com/maps?f=q&amp;hl=en&amp;geocode=&amp;q=-28.55136,153.49118</v>
      </c>
    </row>
    <row r="527" spans="1:13" ht="60" x14ac:dyDescent="0.25">
      <c r="A527" s="4" t="s">
        <v>738</v>
      </c>
      <c r="B527" s="4" t="s">
        <v>22</v>
      </c>
      <c r="C527" s="4" t="s">
        <v>14</v>
      </c>
      <c r="D527" s="4" t="s">
        <v>15</v>
      </c>
      <c r="F527" s="5">
        <v>156</v>
      </c>
      <c r="G527" s="4" t="s">
        <v>180</v>
      </c>
      <c r="H527" s="4" t="s">
        <v>739</v>
      </c>
      <c r="I527" s="4" t="s">
        <v>740</v>
      </c>
      <c r="J527" s="4" t="s">
        <v>18</v>
      </c>
      <c r="K527" s="4" t="s">
        <v>19</v>
      </c>
      <c r="M527" s="6" t="str">
        <f>HYPERLINK("http://maps.google.com/maps?f=q&amp;hl=en&amp;geocode=&amp;q=-28.18823,153.51852")</f>
        <v>http://maps.google.com/maps?f=q&amp;hl=en&amp;geocode=&amp;q=-28.18823,153.51852</v>
      </c>
    </row>
    <row r="528" spans="1:13" ht="60" x14ac:dyDescent="0.25">
      <c r="A528" s="4" t="s">
        <v>734</v>
      </c>
      <c r="B528" s="4" t="s">
        <v>34</v>
      </c>
      <c r="C528" s="4" t="s">
        <v>14</v>
      </c>
      <c r="D528" s="4" t="s">
        <v>15</v>
      </c>
      <c r="F528" s="5" t="s">
        <v>735</v>
      </c>
      <c r="G528" s="4" t="s">
        <v>736</v>
      </c>
      <c r="H528" s="4" t="s">
        <v>61</v>
      </c>
      <c r="I528" s="4" t="s">
        <v>737</v>
      </c>
      <c r="J528" s="4" t="s">
        <v>19</v>
      </c>
      <c r="K528" s="4" t="s">
        <v>44</v>
      </c>
      <c r="L528" s="4" t="s">
        <v>18</v>
      </c>
      <c r="M528" s="6" t="str">
        <f>HYPERLINK("http://maps.google.com/maps?f=q&amp;hl=en&amp;geocode=&amp;q=-28.81637,153.34011")</f>
        <v>http://maps.google.com/maps?f=q&amp;hl=en&amp;geocode=&amp;q=-28.81637,153.34011</v>
      </c>
    </row>
    <row r="529" spans="1:13" ht="60" x14ac:dyDescent="0.25">
      <c r="A529" s="4" t="s">
        <v>732</v>
      </c>
      <c r="B529" s="4" t="s">
        <v>82</v>
      </c>
      <c r="C529" s="4" t="s">
        <v>70</v>
      </c>
      <c r="D529" s="4" t="s">
        <v>15</v>
      </c>
      <c r="F529" s="5">
        <v>22</v>
      </c>
      <c r="G529" s="4" t="s">
        <v>733</v>
      </c>
      <c r="H529" s="4" t="s">
        <v>154</v>
      </c>
      <c r="J529" s="4" t="s">
        <v>18</v>
      </c>
      <c r="K529" s="4" t="s">
        <v>19</v>
      </c>
      <c r="M529" s="6" t="str">
        <f>HYPERLINK("http://maps.google.com/maps?f=q&amp;hl=en&amp;geocode=&amp;q=-28.51835,153.54155")</f>
        <v>http://maps.google.com/maps?f=q&amp;hl=en&amp;geocode=&amp;q=-28.51835,153.54155</v>
      </c>
    </row>
    <row r="530" spans="1:13" ht="60" x14ac:dyDescent="0.25">
      <c r="A530" s="4" t="s">
        <v>728</v>
      </c>
      <c r="B530" s="4" t="s">
        <v>34</v>
      </c>
      <c r="C530" s="4" t="s">
        <v>14</v>
      </c>
      <c r="D530" s="4" t="s">
        <v>41</v>
      </c>
      <c r="F530" s="5">
        <v>9</v>
      </c>
      <c r="G530" s="4" t="s">
        <v>729</v>
      </c>
      <c r="H530" s="4" t="s">
        <v>565</v>
      </c>
      <c r="I530" s="4" t="s">
        <v>730</v>
      </c>
      <c r="J530" s="4" t="s">
        <v>44</v>
      </c>
      <c r="K530" s="4" t="s">
        <v>95</v>
      </c>
      <c r="L530" s="4" t="s">
        <v>731</v>
      </c>
      <c r="M530" s="6" t="str">
        <f>HYPERLINK("http://maps.google.com/maps?f=q&amp;hl=en&amp;geocode=&amp;q=-28.81874,153.27355")</f>
        <v>http://maps.google.com/maps?f=q&amp;hl=en&amp;geocode=&amp;q=-28.81874,153.27355</v>
      </c>
    </row>
    <row r="531" spans="1:13" ht="60" x14ac:dyDescent="0.25">
      <c r="A531" s="4" t="s">
        <v>725</v>
      </c>
      <c r="B531" s="4" t="s">
        <v>82</v>
      </c>
      <c r="C531" s="4" t="s">
        <v>14</v>
      </c>
      <c r="D531" s="4" t="s">
        <v>15</v>
      </c>
      <c r="F531" s="5" t="s">
        <v>726</v>
      </c>
      <c r="G531" s="4" t="s">
        <v>727</v>
      </c>
      <c r="H531" s="4" t="s">
        <v>154</v>
      </c>
      <c r="J531" s="4" t="s">
        <v>19</v>
      </c>
      <c r="M531" s="6" t="str">
        <f>HYPERLINK("http://maps.google.com/maps?f=q&amp;hl=en&amp;geocode=&amp;q=-28.52581,153.54586")</f>
        <v>http://maps.google.com/maps?f=q&amp;hl=en&amp;geocode=&amp;q=-28.52581,153.54586</v>
      </c>
    </row>
    <row r="532" spans="1:13" ht="60" x14ac:dyDescent="0.25">
      <c r="A532" s="4" t="s">
        <v>721</v>
      </c>
      <c r="B532" s="4" t="s">
        <v>28</v>
      </c>
      <c r="C532" s="4" t="s">
        <v>70</v>
      </c>
      <c r="D532" s="4" t="s">
        <v>41</v>
      </c>
      <c r="F532" s="5">
        <v>106</v>
      </c>
      <c r="G532" s="4" t="s">
        <v>722</v>
      </c>
      <c r="H532" s="4" t="s">
        <v>121</v>
      </c>
      <c r="I532" s="4" t="s">
        <v>723</v>
      </c>
      <c r="J532" s="4" t="s">
        <v>25</v>
      </c>
      <c r="K532" s="4" t="s">
        <v>145</v>
      </c>
      <c r="L532" s="4" t="s">
        <v>724</v>
      </c>
      <c r="M532" s="6" t="str">
        <f>HYPERLINK("http://maps.google.com/maps?f=q&amp;hl=en&amp;geocode=&amp;q=-28.84691,153.44488")</f>
        <v>http://maps.google.com/maps?f=q&amp;hl=en&amp;geocode=&amp;q=-28.84691,153.44488</v>
      </c>
    </row>
    <row r="533" spans="1:13" ht="75" x14ac:dyDescent="0.25">
      <c r="A533" s="4" t="s">
        <v>717</v>
      </c>
      <c r="B533" s="4" t="s">
        <v>22</v>
      </c>
      <c r="C533" s="4" t="s">
        <v>14</v>
      </c>
      <c r="D533" s="4" t="s">
        <v>15</v>
      </c>
      <c r="F533" s="5">
        <v>76</v>
      </c>
      <c r="G533" s="4" t="s">
        <v>718</v>
      </c>
      <c r="H533" s="4" t="s">
        <v>165</v>
      </c>
      <c r="I533" s="4" t="s">
        <v>719</v>
      </c>
      <c r="J533" s="4" t="s">
        <v>25</v>
      </c>
      <c r="K533" s="4" t="s">
        <v>19</v>
      </c>
      <c r="L533" s="4" t="s">
        <v>720</v>
      </c>
      <c r="M533" s="6" t="str">
        <f>HYPERLINK("http://maps.google.com/maps?f=q&amp;hl=en&amp;geocode=&amp;q=-28.2327,153.5470599")</f>
        <v>http://maps.google.com/maps?f=q&amp;hl=en&amp;geocode=&amp;q=-28.2327,153.5470599</v>
      </c>
    </row>
    <row r="534" spans="1:13" ht="60" x14ac:dyDescent="0.25">
      <c r="A534" s="4" t="s">
        <v>713</v>
      </c>
      <c r="B534" s="4" t="s">
        <v>22</v>
      </c>
      <c r="C534" s="4" t="s">
        <v>70</v>
      </c>
      <c r="D534" s="4" t="s">
        <v>15</v>
      </c>
      <c r="F534" s="5">
        <v>17</v>
      </c>
      <c r="G534" s="4" t="s">
        <v>714</v>
      </c>
      <c r="H534" s="4" t="s">
        <v>55</v>
      </c>
      <c r="I534" s="4" t="s">
        <v>715</v>
      </c>
      <c r="J534" s="4" t="s">
        <v>31</v>
      </c>
      <c r="K534" s="4" t="s">
        <v>25</v>
      </c>
      <c r="L534" s="4" t="s">
        <v>716</v>
      </c>
      <c r="M534" s="6" t="str">
        <f>HYPERLINK("http://maps.google.com/maps?f=q&amp;hl=en&amp;geocode=&amp;q=-28.1839,153.53175")</f>
        <v>http://maps.google.com/maps?f=q&amp;hl=en&amp;geocode=&amp;q=-28.1839,153.53175</v>
      </c>
    </row>
    <row r="535" spans="1:13" ht="60" x14ac:dyDescent="0.25">
      <c r="A535" s="4" t="s">
        <v>711</v>
      </c>
      <c r="B535" s="4" t="s">
        <v>22</v>
      </c>
      <c r="C535" s="4" t="s">
        <v>14</v>
      </c>
      <c r="D535" s="4" t="s">
        <v>15</v>
      </c>
      <c r="F535" s="5">
        <v>2</v>
      </c>
      <c r="G535" s="4" t="s">
        <v>712</v>
      </c>
      <c r="H535" s="4" t="s">
        <v>703</v>
      </c>
      <c r="J535" s="4" t="s">
        <v>19</v>
      </c>
      <c r="K535" s="4" t="s">
        <v>18</v>
      </c>
      <c r="M535" s="6" t="str">
        <f>HYPERLINK("http://maps.google.com/maps?f=q&amp;hl=en&amp;geocode=&amp;q=-28.37418,153.56324")</f>
        <v>http://maps.google.com/maps?f=q&amp;hl=en&amp;geocode=&amp;q=-28.37418,153.56324</v>
      </c>
    </row>
    <row r="536" spans="1:13" ht="60" x14ac:dyDescent="0.25">
      <c r="A536" s="4" t="s">
        <v>708</v>
      </c>
      <c r="B536" s="4" t="s">
        <v>34</v>
      </c>
      <c r="C536" s="4" t="s">
        <v>14</v>
      </c>
      <c r="D536" s="4" t="s">
        <v>15</v>
      </c>
      <c r="F536" s="5">
        <v>14</v>
      </c>
      <c r="G536" s="4" t="s">
        <v>709</v>
      </c>
      <c r="H536" s="4" t="s">
        <v>36</v>
      </c>
      <c r="I536" s="4" t="s">
        <v>710</v>
      </c>
      <c r="J536" s="4" t="s">
        <v>18</v>
      </c>
      <c r="K536" s="4" t="s">
        <v>44</v>
      </c>
      <c r="M536" s="6" t="str">
        <f>HYPERLINK("http://maps.google.com/maps?f=q&amp;hl=en&amp;geocode=&amp;q=-28.806,153.26592")</f>
        <v>http://maps.google.com/maps?f=q&amp;hl=en&amp;geocode=&amp;q=-28.806,153.26592</v>
      </c>
    </row>
    <row r="537" spans="1:13" ht="60" x14ac:dyDescent="0.25">
      <c r="A537" s="4" t="s">
        <v>705</v>
      </c>
      <c r="B537" s="4" t="s">
        <v>22</v>
      </c>
      <c r="C537" s="4" t="s">
        <v>70</v>
      </c>
      <c r="D537" s="4" t="s">
        <v>15</v>
      </c>
      <c r="F537" s="5" t="s">
        <v>706</v>
      </c>
      <c r="G537" s="4" t="s">
        <v>707</v>
      </c>
      <c r="H537" s="4" t="s">
        <v>612</v>
      </c>
      <c r="I537" s="4" t="s">
        <v>94</v>
      </c>
      <c r="J537" s="4" t="s">
        <v>19</v>
      </c>
      <c r="K537" s="4" t="s">
        <v>18</v>
      </c>
      <c r="L537" s="4" t="s">
        <v>57</v>
      </c>
      <c r="M537" s="6" t="str">
        <f>HYPERLINK("http://maps.google.com/maps?f=q&amp;hl=en&amp;geocode=&amp;q=-28.2913,153.57368")</f>
        <v>http://maps.google.com/maps?f=q&amp;hl=en&amp;geocode=&amp;q=-28.2913,153.57368</v>
      </c>
    </row>
    <row r="538" spans="1:13" ht="60" x14ac:dyDescent="0.25">
      <c r="A538" s="4" t="s">
        <v>701</v>
      </c>
      <c r="B538" s="4" t="s">
        <v>22</v>
      </c>
      <c r="C538" s="4" t="s">
        <v>14</v>
      </c>
      <c r="D538" s="4" t="s">
        <v>15</v>
      </c>
      <c r="F538" s="5">
        <v>24</v>
      </c>
      <c r="G538" s="4" t="s">
        <v>702</v>
      </c>
      <c r="H538" s="4" t="s">
        <v>703</v>
      </c>
      <c r="I538" s="4" t="s">
        <v>704</v>
      </c>
      <c r="M538" s="6" t="str">
        <f>HYPERLINK("http://maps.google.com/maps?f=q&amp;hl=en&amp;geocode=&amp;q=-28.3709,153.5538")</f>
        <v>http://maps.google.com/maps?f=q&amp;hl=en&amp;geocode=&amp;q=-28.3709,153.5538</v>
      </c>
    </row>
    <row r="539" spans="1:13" ht="60" x14ac:dyDescent="0.25">
      <c r="A539" s="4" t="s">
        <v>697</v>
      </c>
      <c r="B539" s="4" t="s">
        <v>34</v>
      </c>
      <c r="C539" s="4" t="s">
        <v>14</v>
      </c>
      <c r="D539" s="4" t="s">
        <v>15</v>
      </c>
      <c r="F539" s="5">
        <v>17</v>
      </c>
      <c r="G539" s="4" t="s">
        <v>698</v>
      </c>
      <c r="H539" s="4" t="s">
        <v>132</v>
      </c>
      <c r="I539" s="4" t="s">
        <v>699</v>
      </c>
      <c r="J539" s="4" t="s">
        <v>31</v>
      </c>
      <c r="K539" s="4" t="s">
        <v>18</v>
      </c>
      <c r="L539" s="4" t="s">
        <v>700</v>
      </c>
      <c r="M539" s="6" t="str">
        <f>HYPERLINK("http://maps.google.com/maps?f=q&amp;hl=en&amp;geocode=&amp;q=-28.81856,153.28557")</f>
        <v>http://maps.google.com/maps?f=q&amp;hl=en&amp;geocode=&amp;q=-28.81856,153.28557</v>
      </c>
    </row>
    <row r="540" spans="1:13" ht="60" x14ac:dyDescent="0.25">
      <c r="A540" s="4" t="s">
        <v>693</v>
      </c>
      <c r="B540" s="4" t="s">
        <v>22</v>
      </c>
      <c r="C540" s="4" t="s">
        <v>70</v>
      </c>
      <c r="D540" s="4" t="s">
        <v>15</v>
      </c>
      <c r="F540" s="5">
        <v>24</v>
      </c>
      <c r="G540" s="4" t="s">
        <v>694</v>
      </c>
      <c r="H540" s="4" t="s">
        <v>695</v>
      </c>
      <c r="L540" s="4" t="s">
        <v>696</v>
      </c>
      <c r="M540" s="6" t="str">
        <f>HYPERLINK("http://maps.google.com/maps?f=q&amp;hl=en&amp;geocode=&amp;q=-28.30608,153.43676")</f>
        <v>http://maps.google.com/maps?f=q&amp;hl=en&amp;geocode=&amp;q=-28.30608,153.43676</v>
      </c>
    </row>
    <row r="541" spans="1:13" ht="60" x14ac:dyDescent="0.25">
      <c r="A541" s="4" t="s">
        <v>691</v>
      </c>
      <c r="B541" s="4" t="s">
        <v>69</v>
      </c>
      <c r="C541" s="4" t="s">
        <v>70</v>
      </c>
      <c r="D541" s="4" t="s">
        <v>15</v>
      </c>
      <c r="F541" s="5">
        <v>235</v>
      </c>
      <c r="G541" s="4" t="s">
        <v>692</v>
      </c>
      <c r="H541" s="4" t="s">
        <v>349</v>
      </c>
      <c r="J541" s="4" t="s">
        <v>19</v>
      </c>
      <c r="K541" s="4" t="s">
        <v>117</v>
      </c>
      <c r="M541" s="6" t="str">
        <f>HYPERLINK("http://maps.google.com/maps?f=q&amp;hl=en&amp;geocode=&amp;q=-29.67491,152.93474")</f>
        <v>http://maps.google.com/maps?f=q&amp;hl=en&amp;geocode=&amp;q=-29.67491,152.93474</v>
      </c>
    </row>
    <row r="542" spans="1:13" ht="60" x14ac:dyDescent="0.25">
      <c r="A542" s="4" t="s">
        <v>688</v>
      </c>
      <c r="B542" s="4" t="s">
        <v>22</v>
      </c>
      <c r="C542" s="4" t="s">
        <v>14</v>
      </c>
      <c r="D542" s="4" t="s">
        <v>15</v>
      </c>
      <c r="F542" s="5">
        <v>35</v>
      </c>
      <c r="G542" s="4" t="s">
        <v>487</v>
      </c>
      <c r="H542" s="4" t="s">
        <v>165</v>
      </c>
      <c r="I542" s="4" t="s">
        <v>689</v>
      </c>
      <c r="J542" s="4" t="s">
        <v>38</v>
      </c>
      <c r="K542" s="4" t="s">
        <v>25</v>
      </c>
      <c r="L542" s="4" t="s">
        <v>690</v>
      </c>
      <c r="M542" s="6" t="str">
        <f>HYPERLINK("http://maps.google.com/maps?f=q&amp;hl=en&amp;geocode=&amp;q=-28.22057,153.52911")</f>
        <v>http://maps.google.com/maps?f=q&amp;hl=en&amp;geocode=&amp;q=-28.22057,153.52911</v>
      </c>
    </row>
    <row r="543" spans="1:13" ht="60" x14ac:dyDescent="0.25">
      <c r="A543" s="4" t="s">
        <v>685</v>
      </c>
      <c r="B543" s="4" t="s">
        <v>13</v>
      </c>
      <c r="C543" s="4" t="s">
        <v>14</v>
      </c>
      <c r="D543" s="4" t="s">
        <v>15</v>
      </c>
      <c r="F543" s="5">
        <v>110</v>
      </c>
      <c r="G543" s="4" t="s">
        <v>686</v>
      </c>
      <c r="H543" s="4" t="s">
        <v>17</v>
      </c>
      <c r="J543" s="4" t="s">
        <v>31</v>
      </c>
      <c r="K543" s="4" t="s">
        <v>18</v>
      </c>
      <c r="L543" s="4" t="s">
        <v>687</v>
      </c>
      <c r="M543" s="6" t="str">
        <f>HYPERLINK("http://maps.google.com/maps?f=q&amp;hl=en&amp;geocode=&amp;q=-29.11115,153.42534")</f>
        <v>http://maps.google.com/maps?f=q&amp;hl=en&amp;geocode=&amp;q=-29.11115,153.42534</v>
      </c>
    </row>
    <row r="544" spans="1:13" ht="60" x14ac:dyDescent="0.25">
      <c r="A544" s="4" t="s">
        <v>683</v>
      </c>
      <c r="B544" s="4" t="s">
        <v>13</v>
      </c>
      <c r="C544" s="4" t="s">
        <v>14</v>
      </c>
      <c r="D544" s="4" t="s">
        <v>15</v>
      </c>
      <c r="F544" s="5" t="s">
        <v>152</v>
      </c>
      <c r="G544" s="4" t="s">
        <v>360</v>
      </c>
      <c r="H544" s="4" t="s">
        <v>218</v>
      </c>
      <c r="J544" s="4" t="s">
        <v>19</v>
      </c>
      <c r="K544" s="4" t="s">
        <v>19</v>
      </c>
      <c r="L544" s="4" t="s">
        <v>684</v>
      </c>
      <c r="M544" s="6" t="str">
        <f>HYPERLINK("http://maps.google.com/maps?f=q&amp;hl=en&amp;geocode=&amp;q=-28.87182,153.03911")</f>
        <v>http://maps.google.com/maps?f=q&amp;hl=en&amp;geocode=&amp;q=-28.87182,153.03911</v>
      </c>
    </row>
    <row r="545" spans="1:13" ht="75" x14ac:dyDescent="0.25">
      <c r="A545" s="4" t="s">
        <v>676</v>
      </c>
      <c r="B545" s="4" t="s">
        <v>22</v>
      </c>
      <c r="C545" s="4" t="s">
        <v>14</v>
      </c>
      <c r="D545" s="4" t="s">
        <v>677</v>
      </c>
      <c r="E545" s="4" t="s">
        <v>678</v>
      </c>
      <c r="F545" s="5">
        <v>45</v>
      </c>
      <c r="G545" s="4" t="s">
        <v>679</v>
      </c>
      <c r="H545" s="4" t="s">
        <v>680</v>
      </c>
      <c r="I545" s="4" t="s">
        <v>681</v>
      </c>
      <c r="J545" s="4" t="s">
        <v>18</v>
      </c>
      <c r="K545" s="4" t="s">
        <v>31</v>
      </c>
      <c r="L545" s="4" t="s">
        <v>682</v>
      </c>
      <c r="M545" s="6" t="str">
        <f>HYPERLINK("http://maps.google.com/maps?f=q&amp;hl=en&amp;geocode=&amp;q=-28.20642,153.5373899")</f>
        <v>http://maps.google.com/maps?f=q&amp;hl=en&amp;geocode=&amp;q=-28.20642,153.5373899</v>
      </c>
    </row>
    <row r="546" spans="1:13" ht="60" x14ac:dyDescent="0.25">
      <c r="A546" s="4" t="s">
        <v>673</v>
      </c>
      <c r="B546" s="4" t="s">
        <v>28</v>
      </c>
      <c r="C546" s="4" t="s">
        <v>14</v>
      </c>
      <c r="D546" s="4" t="s">
        <v>15</v>
      </c>
      <c r="F546" s="5">
        <v>40</v>
      </c>
      <c r="G546" s="4" t="s">
        <v>674</v>
      </c>
      <c r="H546" s="4" t="s">
        <v>121</v>
      </c>
      <c r="J546" s="4" t="s">
        <v>25</v>
      </c>
      <c r="K546" s="4" t="s">
        <v>44</v>
      </c>
      <c r="L546" s="4" t="s">
        <v>675</v>
      </c>
      <c r="M546" s="6" t="str">
        <f>HYPERLINK("http://maps.google.com/maps?f=q&amp;hl=en&amp;geocode=&amp;q=-28.84631,153.44701")</f>
        <v>http://maps.google.com/maps?f=q&amp;hl=en&amp;geocode=&amp;q=-28.84631,153.44701</v>
      </c>
    </row>
    <row r="547" spans="1:13" ht="60" x14ac:dyDescent="0.25">
      <c r="A547" s="4" t="s">
        <v>670</v>
      </c>
      <c r="B547" s="4" t="s">
        <v>22</v>
      </c>
      <c r="C547" s="4" t="s">
        <v>70</v>
      </c>
      <c r="D547" s="4" t="s">
        <v>15</v>
      </c>
      <c r="F547" s="5" t="s">
        <v>306</v>
      </c>
      <c r="G547" s="4" t="s">
        <v>671</v>
      </c>
      <c r="H547" s="4" t="s">
        <v>672</v>
      </c>
      <c r="M547" s="6" t="str">
        <f>HYPERLINK("http://maps.google.com/maps?f=q&amp;hl=en&amp;geocode=&amp;q=-28.26282,153.56077")</f>
        <v>http://maps.google.com/maps?f=q&amp;hl=en&amp;geocode=&amp;q=-28.26282,153.56077</v>
      </c>
    </row>
    <row r="548" spans="1:13" ht="60" x14ac:dyDescent="0.25">
      <c r="A548" s="4" t="s">
        <v>666</v>
      </c>
      <c r="B548" s="4" t="s">
        <v>28</v>
      </c>
      <c r="C548" s="4" t="s">
        <v>70</v>
      </c>
      <c r="D548" s="4" t="s">
        <v>15</v>
      </c>
      <c r="F548" s="5" t="s">
        <v>667</v>
      </c>
      <c r="G548" s="4" t="s">
        <v>668</v>
      </c>
      <c r="H548" s="4" t="s">
        <v>30</v>
      </c>
      <c r="I548" s="4" t="s">
        <v>669</v>
      </c>
      <c r="J548" s="4" t="s">
        <v>18</v>
      </c>
      <c r="K548" s="4" t="s">
        <v>50</v>
      </c>
      <c r="M548" s="6" t="str">
        <f>HYPERLINK("http://maps.google.com/maps?f=q&amp;hl=en&amp;geocode=&amp;q=-28.78806,153.58983")</f>
        <v>http://maps.google.com/maps?f=q&amp;hl=en&amp;geocode=&amp;q=-28.78806,153.58983</v>
      </c>
    </row>
    <row r="549" spans="1:13" ht="60" x14ac:dyDescent="0.25">
      <c r="A549" s="4" t="s">
        <v>663</v>
      </c>
      <c r="B549" s="4" t="s">
        <v>34</v>
      </c>
      <c r="C549" s="4" t="s">
        <v>14</v>
      </c>
      <c r="D549" s="4" t="s">
        <v>15</v>
      </c>
      <c r="F549" s="5">
        <v>22</v>
      </c>
      <c r="G549" s="4" t="s">
        <v>550</v>
      </c>
      <c r="H549" s="4" t="s">
        <v>551</v>
      </c>
      <c r="I549" s="4" t="s">
        <v>664</v>
      </c>
      <c r="J549" s="4" t="s">
        <v>49</v>
      </c>
      <c r="K549" s="4" t="s">
        <v>50</v>
      </c>
      <c r="L549" s="4" t="s">
        <v>665</v>
      </c>
      <c r="M549" s="6" t="str">
        <f>HYPERLINK("http://maps.google.com/maps?f=q&amp;hl=en&amp;geocode=&amp;q=-28.71764,153.30608")</f>
        <v>http://maps.google.com/maps?f=q&amp;hl=en&amp;geocode=&amp;q=-28.71764,153.30608</v>
      </c>
    </row>
    <row r="550" spans="1:13" ht="60" x14ac:dyDescent="0.25">
      <c r="A550" s="4" t="s">
        <v>658</v>
      </c>
      <c r="B550" s="4" t="s">
        <v>34</v>
      </c>
      <c r="C550" s="4" t="s">
        <v>70</v>
      </c>
      <c r="F550" s="5">
        <v>189</v>
      </c>
      <c r="G550" s="4" t="s">
        <v>659</v>
      </c>
      <c r="H550" s="4" t="s">
        <v>132</v>
      </c>
      <c r="I550" s="4" t="s">
        <v>660</v>
      </c>
      <c r="J550" s="4" t="s">
        <v>661</v>
      </c>
      <c r="K550" s="4" t="s">
        <v>31</v>
      </c>
      <c r="L550" s="4" t="s">
        <v>662</v>
      </c>
      <c r="M550" s="6" t="str">
        <f>HYPERLINK("http://maps.google.com/maps?f=q&amp;hl=en&amp;geocode=&amp;q=-28.82361,153.29004")</f>
        <v>http://maps.google.com/maps?f=q&amp;hl=en&amp;geocode=&amp;q=-28.82361,153.29004</v>
      </c>
    </row>
    <row r="551" spans="1:13" ht="75" x14ac:dyDescent="0.25">
      <c r="A551" s="4" t="s">
        <v>652</v>
      </c>
      <c r="B551" s="4" t="s">
        <v>22</v>
      </c>
      <c r="C551" s="4" t="s">
        <v>14</v>
      </c>
      <c r="D551" s="4" t="s">
        <v>41</v>
      </c>
      <c r="F551" s="5" t="s">
        <v>653</v>
      </c>
      <c r="G551" s="4" t="s">
        <v>654</v>
      </c>
      <c r="H551" s="4" t="s">
        <v>655</v>
      </c>
      <c r="I551" s="4" t="s">
        <v>656</v>
      </c>
      <c r="J551" s="4" t="s">
        <v>18</v>
      </c>
      <c r="K551" s="4" t="s">
        <v>19</v>
      </c>
      <c r="L551" s="4" t="s">
        <v>657</v>
      </c>
      <c r="M551" s="6" t="str">
        <f>HYPERLINK("http://maps.google.com/maps?f=q&amp;hl=en&amp;geocode=&amp;q=-28.29427,153.5667599")</f>
        <v>http://maps.google.com/maps?f=q&amp;hl=en&amp;geocode=&amp;q=-28.29427,153.5667599</v>
      </c>
    </row>
    <row r="552" spans="1:13" ht="60" x14ac:dyDescent="0.25">
      <c r="A552" s="4" t="s">
        <v>649</v>
      </c>
      <c r="B552" s="4" t="s">
        <v>82</v>
      </c>
      <c r="C552" s="4" t="s">
        <v>70</v>
      </c>
      <c r="D552" s="4" t="s">
        <v>15</v>
      </c>
      <c r="F552" s="5">
        <v>8</v>
      </c>
      <c r="G552" s="4" t="s">
        <v>650</v>
      </c>
      <c r="H552" s="4" t="s">
        <v>194</v>
      </c>
      <c r="I552" s="4" t="s">
        <v>651</v>
      </c>
      <c r="J552" s="4" t="s">
        <v>74</v>
      </c>
      <c r="K552" s="4" t="s">
        <v>19</v>
      </c>
      <c r="M552" s="6" t="str">
        <f>HYPERLINK("http://maps.google.com/maps?f=q&amp;hl=en&amp;geocode=&amp;q=-28.55529,153.50415")</f>
        <v>http://maps.google.com/maps?f=q&amp;hl=en&amp;geocode=&amp;q=-28.55529,153.50415</v>
      </c>
    </row>
    <row r="553" spans="1:13" ht="60" x14ac:dyDescent="0.25">
      <c r="A553" s="4" t="s">
        <v>646</v>
      </c>
      <c r="B553" s="4" t="s">
        <v>22</v>
      </c>
      <c r="C553" s="4" t="s">
        <v>14</v>
      </c>
      <c r="D553" s="4" t="s">
        <v>15</v>
      </c>
      <c r="F553" s="5">
        <v>1</v>
      </c>
      <c r="G553" s="4" t="s">
        <v>647</v>
      </c>
      <c r="H553" s="4" t="s">
        <v>165</v>
      </c>
      <c r="J553" s="4" t="s">
        <v>49</v>
      </c>
      <c r="K553" s="4" t="s">
        <v>25</v>
      </c>
      <c r="L553" s="4" t="s">
        <v>648</v>
      </c>
      <c r="M553" s="6" t="str">
        <f>HYPERLINK("http://maps.google.com/maps?f=q&amp;hl=en&amp;geocode=&amp;q=-28.22106,153.54594")</f>
        <v>http://maps.google.com/maps?f=q&amp;hl=en&amp;geocode=&amp;q=-28.22106,153.54594</v>
      </c>
    </row>
    <row r="554" spans="1:13" ht="60" x14ac:dyDescent="0.25">
      <c r="A554" s="4" t="s">
        <v>642</v>
      </c>
      <c r="B554" s="4" t="s">
        <v>13</v>
      </c>
      <c r="C554" s="4" t="s">
        <v>70</v>
      </c>
      <c r="D554" s="4" t="s">
        <v>15</v>
      </c>
      <c r="F554" s="5" t="s">
        <v>643</v>
      </c>
      <c r="G554" s="4" t="s">
        <v>240</v>
      </c>
      <c r="H554" s="4" t="s">
        <v>218</v>
      </c>
      <c r="I554" s="4" t="s">
        <v>644</v>
      </c>
      <c r="J554" s="4" t="s">
        <v>38</v>
      </c>
      <c r="K554" s="4" t="s">
        <v>50</v>
      </c>
      <c r="L554" s="4" t="s">
        <v>645</v>
      </c>
      <c r="M554" s="6" t="str">
        <f>HYPERLINK("http://maps.google.com/maps?f=q&amp;hl=en&amp;geocode=&amp;q=-28.85824,153.03764")</f>
        <v>http://maps.google.com/maps?f=q&amp;hl=en&amp;geocode=&amp;q=-28.85824,153.03764</v>
      </c>
    </row>
    <row r="555" spans="1:13" ht="60" x14ac:dyDescent="0.25">
      <c r="A555" s="4" t="s">
        <v>638</v>
      </c>
      <c r="B555" s="4" t="s">
        <v>69</v>
      </c>
      <c r="C555" s="4" t="s">
        <v>14</v>
      </c>
      <c r="D555" s="4" t="s">
        <v>15</v>
      </c>
      <c r="F555" s="5">
        <v>91</v>
      </c>
      <c r="G555" s="4" t="s">
        <v>639</v>
      </c>
      <c r="H555" s="4" t="s">
        <v>349</v>
      </c>
      <c r="I555" s="4" t="s">
        <v>640</v>
      </c>
      <c r="J555" s="4" t="s">
        <v>38</v>
      </c>
      <c r="K555" s="4" t="s">
        <v>251</v>
      </c>
      <c r="L555" s="4" t="s">
        <v>641</v>
      </c>
      <c r="M555" s="6" t="str">
        <f>HYPERLINK("http://maps.google.com/maps?f=q&amp;hl=en&amp;geocode=&amp;q=-29.68919,152.93767")</f>
        <v>http://maps.google.com/maps?f=q&amp;hl=en&amp;geocode=&amp;q=-29.68919,152.93767</v>
      </c>
    </row>
    <row r="556" spans="1:13" ht="75" x14ac:dyDescent="0.25">
      <c r="A556" s="4" t="s">
        <v>633</v>
      </c>
      <c r="B556" s="4" t="s">
        <v>34</v>
      </c>
      <c r="C556" s="4" t="s">
        <v>14</v>
      </c>
      <c r="D556" s="4" t="s">
        <v>15</v>
      </c>
      <c r="F556" s="5" t="s">
        <v>634</v>
      </c>
      <c r="G556" s="4" t="s">
        <v>635</v>
      </c>
      <c r="H556" s="4" t="s">
        <v>245</v>
      </c>
      <c r="I556" s="4" t="s">
        <v>636</v>
      </c>
      <c r="J556" s="4" t="s">
        <v>19</v>
      </c>
      <c r="K556" s="4" t="s">
        <v>44</v>
      </c>
      <c r="L556" s="4" t="s">
        <v>637</v>
      </c>
      <c r="M556" s="6" t="str">
        <f>HYPERLINK("http://maps.google.com/maps?f=q&amp;hl=en&amp;geocode=&amp;q=-28.82413,153.2889099")</f>
        <v>http://maps.google.com/maps?f=q&amp;hl=en&amp;geocode=&amp;q=-28.82413,153.2889099</v>
      </c>
    </row>
    <row r="557" spans="1:13" ht="60" x14ac:dyDescent="0.25">
      <c r="A557" s="4" t="s">
        <v>629</v>
      </c>
      <c r="B557" s="4" t="s">
        <v>82</v>
      </c>
      <c r="C557" s="4" t="s">
        <v>70</v>
      </c>
      <c r="D557" s="4" t="s">
        <v>15</v>
      </c>
      <c r="F557" s="5">
        <v>6</v>
      </c>
      <c r="G557" s="4" t="s">
        <v>630</v>
      </c>
      <c r="H557" s="4" t="s">
        <v>631</v>
      </c>
      <c r="I557" s="4" t="s">
        <v>57</v>
      </c>
      <c r="J557" s="4" t="s">
        <v>57</v>
      </c>
      <c r="K557" s="4" t="s">
        <v>95</v>
      </c>
      <c r="L557" s="4" t="s">
        <v>632</v>
      </c>
      <c r="M557" s="6" t="str">
        <f>HYPERLINK("http://maps.google.com/maps?f=q&amp;hl=en&amp;geocode=&amp;q=-28.6807,153.52689")</f>
        <v>http://maps.google.com/maps?f=q&amp;hl=en&amp;geocode=&amp;q=-28.6807,153.52689</v>
      </c>
    </row>
    <row r="558" spans="1:13" ht="60" x14ac:dyDescent="0.25">
      <c r="A558" s="4" t="s">
        <v>625</v>
      </c>
      <c r="B558" s="4" t="s">
        <v>13</v>
      </c>
      <c r="C558" s="4" t="s">
        <v>14</v>
      </c>
      <c r="D558" s="4" t="s">
        <v>15</v>
      </c>
      <c r="F558" s="5">
        <v>42</v>
      </c>
      <c r="G558" s="4" t="s">
        <v>626</v>
      </c>
      <c r="H558" s="4" t="s">
        <v>64</v>
      </c>
      <c r="I558" s="4" t="s">
        <v>627</v>
      </c>
      <c r="J558" s="4" t="s">
        <v>49</v>
      </c>
      <c r="K558" s="4" t="s">
        <v>25</v>
      </c>
      <c r="L558" s="4" t="s">
        <v>628</v>
      </c>
      <c r="M558" s="6" t="str">
        <f>HYPERLINK("http://maps.google.com/maps?f=q&amp;hl=en&amp;geocode=&amp;q=-28.81154,153.06514")</f>
        <v>http://maps.google.com/maps?f=q&amp;hl=en&amp;geocode=&amp;q=-28.81154,153.06514</v>
      </c>
    </row>
    <row r="559" spans="1:13" ht="60" x14ac:dyDescent="0.25">
      <c r="A559" s="4" t="s">
        <v>621</v>
      </c>
      <c r="B559" s="4" t="s">
        <v>22</v>
      </c>
      <c r="C559" s="4" t="s">
        <v>14</v>
      </c>
      <c r="D559" s="4" t="s">
        <v>15</v>
      </c>
      <c r="F559" s="5">
        <v>41</v>
      </c>
      <c r="G559" s="4" t="s">
        <v>622</v>
      </c>
      <c r="H559" s="4" t="s">
        <v>160</v>
      </c>
      <c r="I559" s="4" t="s">
        <v>623</v>
      </c>
      <c r="J559" s="4" t="s">
        <v>31</v>
      </c>
      <c r="K559" s="4" t="s">
        <v>18</v>
      </c>
      <c r="L559" s="4" t="s">
        <v>624</v>
      </c>
      <c r="M559" s="6" t="str">
        <f>HYPERLINK("http://maps.google.com/maps?f=q&amp;hl=en&amp;geocode=&amp;q=-28.19385,153.50496")</f>
        <v>http://maps.google.com/maps?f=q&amp;hl=en&amp;geocode=&amp;q=-28.19385,153.50496</v>
      </c>
    </row>
    <row r="560" spans="1:13" ht="60" x14ac:dyDescent="0.25">
      <c r="A560" s="4" t="s">
        <v>617</v>
      </c>
      <c r="B560" s="4" t="s">
        <v>28</v>
      </c>
      <c r="C560" s="4" t="s">
        <v>14</v>
      </c>
      <c r="D560" s="4" t="s">
        <v>15</v>
      </c>
      <c r="F560" s="5">
        <v>12</v>
      </c>
      <c r="G560" s="4" t="s">
        <v>618</v>
      </c>
      <c r="H560" s="4" t="s">
        <v>107</v>
      </c>
      <c r="I560" s="4" t="s">
        <v>619</v>
      </c>
      <c r="J560" s="4" t="s">
        <v>44</v>
      </c>
      <c r="K560" s="4" t="s">
        <v>18</v>
      </c>
      <c r="L560" s="4" t="s">
        <v>620</v>
      </c>
      <c r="M560" s="6" t="str">
        <f>HYPERLINK("http://maps.google.com/maps?f=q&amp;hl=en&amp;geocode=&amp;q=-28.86002,153.55605")</f>
        <v>http://maps.google.com/maps?f=q&amp;hl=en&amp;geocode=&amp;q=-28.86002,153.55605</v>
      </c>
    </row>
    <row r="561" spans="1:13" ht="75" x14ac:dyDescent="0.25">
      <c r="A561" s="4" t="s">
        <v>614</v>
      </c>
      <c r="B561" s="4" t="s">
        <v>13</v>
      </c>
      <c r="C561" s="4" t="s">
        <v>14</v>
      </c>
      <c r="D561" s="4" t="s">
        <v>15</v>
      </c>
      <c r="F561" s="5">
        <v>70</v>
      </c>
      <c r="G561" s="4" t="s">
        <v>606</v>
      </c>
      <c r="H561" s="4" t="s">
        <v>607</v>
      </c>
      <c r="I561" s="4" t="s">
        <v>615</v>
      </c>
      <c r="J561" s="4" t="s">
        <v>237</v>
      </c>
      <c r="K561" s="4" t="s">
        <v>25</v>
      </c>
      <c r="L561" s="4" t="s">
        <v>616</v>
      </c>
      <c r="M561" s="6" t="str">
        <f>HYPERLINK("http://maps.google.com/maps?f=q&amp;hl=en&amp;geocode=&amp;q=54.2987289428711,9.7888298034668")</f>
        <v>http://maps.google.com/maps?f=q&amp;hl=en&amp;geocode=&amp;q=54.2987289428711,9.7888298034668</v>
      </c>
    </row>
    <row r="562" spans="1:13" ht="75" x14ac:dyDescent="0.25">
      <c r="A562" s="4" t="s">
        <v>610</v>
      </c>
      <c r="B562" s="4" t="s">
        <v>22</v>
      </c>
      <c r="C562" s="4" t="s">
        <v>14</v>
      </c>
      <c r="D562" s="4" t="s">
        <v>15</v>
      </c>
      <c r="F562" s="5">
        <v>2</v>
      </c>
      <c r="G562" s="4" t="s">
        <v>611</v>
      </c>
      <c r="H562" s="4" t="s">
        <v>612</v>
      </c>
      <c r="I562" s="4" t="s">
        <v>613</v>
      </c>
      <c r="J562" s="4" t="s">
        <v>18</v>
      </c>
      <c r="K562" s="4" t="s">
        <v>44</v>
      </c>
      <c r="M562" s="6" t="str">
        <f>HYPERLINK("http://maps.google.com/maps?f=q&amp;hl=en&amp;geocode=&amp;q=28.5272693634033,77.1075668334961")</f>
        <v>http://maps.google.com/maps?f=q&amp;hl=en&amp;geocode=&amp;q=28.5272693634033,77.1075668334961</v>
      </c>
    </row>
    <row r="563" spans="1:13" ht="60" x14ac:dyDescent="0.25">
      <c r="A563" s="4" t="s">
        <v>605</v>
      </c>
      <c r="B563" s="4" t="s">
        <v>13</v>
      </c>
      <c r="C563" s="4" t="s">
        <v>14</v>
      </c>
      <c r="D563" s="4" t="s">
        <v>15</v>
      </c>
      <c r="F563" s="5">
        <v>70</v>
      </c>
      <c r="G563" s="4" t="s">
        <v>606</v>
      </c>
      <c r="H563" s="4" t="s">
        <v>607</v>
      </c>
      <c r="I563" s="4" t="s">
        <v>608</v>
      </c>
      <c r="J563" s="4" t="s">
        <v>19</v>
      </c>
      <c r="K563" s="4" t="s">
        <v>145</v>
      </c>
      <c r="L563" s="4" t="s">
        <v>609</v>
      </c>
      <c r="M563" s="6" t="str">
        <f>HYPERLINK("http://maps.google.com/maps?f=q&amp;hl=en&amp;geocode=&amp;q=-28.83487,153.09727")</f>
        <v>http://maps.google.com/maps?f=q&amp;hl=en&amp;geocode=&amp;q=-28.83487,153.09727</v>
      </c>
    </row>
    <row r="564" spans="1:13" ht="60" x14ac:dyDescent="0.25">
      <c r="A564" s="4" t="s">
        <v>601</v>
      </c>
      <c r="B564" s="4" t="s">
        <v>69</v>
      </c>
      <c r="C564" s="4" t="s">
        <v>70</v>
      </c>
      <c r="D564" s="4" t="s">
        <v>41</v>
      </c>
      <c r="F564" s="5">
        <v>44</v>
      </c>
      <c r="G564" s="4" t="s">
        <v>602</v>
      </c>
      <c r="H564" s="4" t="s">
        <v>349</v>
      </c>
      <c r="I564" s="4" t="s">
        <v>603</v>
      </c>
      <c r="J564" s="4" t="s">
        <v>25</v>
      </c>
      <c r="K564" s="4" t="s">
        <v>145</v>
      </c>
      <c r="L564" s="4" t="s">
        <v>604</v>
      </c>
      <c r="M564" s="6" t="str">
        <f>HYPERLINK("http://maps.google.com/maps?f=q&amp;hl=en&amp;geocode=&amp;q=-29.67118,152.93251")</f>
        <v>http://maps.google.com/maps?f=q&amp;hl=en&amp;geocode=&amp;q=-29.67118,152.93251</v>
      </c>
    </row>
    <row r="565" spans="1:13" ht="60" x14ac:dyDescent="0.25">
      <c r="A565" s="4" t="s">
        <v>599</v>
      </c>
      <c r="B565" s="4" t="s">
        <v>34</v>
      </c>
      <c r="C565" s="4" t="s">
        <v>14</v>
      </c>
      <c r="D565" s="4" t="s">
        <v>15</v>
      </c>
      <c r="F565" s="5">
        <v>45</v>
      </c>
      <c r="G565" s="4" t="s">
        <v>244</v>
      </c>
      <c r="H565" s="4" t="s">
        <v>132</v>
      </c>
      <c r="J565" s="4" t="s">
        <v>38</v>
      </c>
      <c r="K565" s="4" t="s">
        <v>19</v>
      </c>
      <c r="L565" s="4" t="s">
        <v>600</v>
      </c>
      <c r="M565" s="6" t="str">
        <f>HYPERLINK("http://maps.google.com/maps?f=q&amp;hl=en&amp;geocode=&amp;q=-28.81704,153.28984")</f>
        <v>http://maps.google.com/maps?f=q&amp;hl=en&amp;geocode=&amp;q=-28.81704,153.28984</v>
      </c>
    </row>
    <row r="566" spans="1:13" ht="60" x14ac:dyDescent="0.25">
      <c r="A566" s="4" t="s">
        <v>595</v>
      </c>
      <c r="B566" s="4" t="s">
        <v>69</v>
      </c>
      <c r="C566" s="4" t="s">
        <v>70</v>
      </c>
      <c r="D566" s="4" t="s">
        <v>15</v>
      </c>
      <c r="F566" s="5">
        <v>8</v>
      </c>
      <c r="G566" s="4" t="s">
        <v>596</v>
      </c>
      <c r="H566" s="4" t="s">
        <v>349</v>
      </c>
      <c r="I566" s="4" t="s">
        <v>597</v>
      </c>
      <c r="J566" s="4" t="s">
        <v>79</v>
      </c>
      <c r="K566" s="4" t="s">
        <v>25</v>
      </c>
      <c r="L566" s="4" t="s">
        <v>598</v>
      </c>
      <c r="M566" s="6" t="str">
        <f>HYPERLINK("http://maps.google.com/maps?f=q&amp;hl=en&amp;geocode=&amp;q=-29.68701,152.92887")</f>
        <v>http://maps.google.com/maps?f=q&amp;hl=en&amp;geocode=&amp;q=-29.68701,152.92887</v>
      </c>
    </row>
    <row r="567" spans="1:13" ht="60" x14ac:dyDescent="0.25">
      <c r="A567" s="4" t="s">
        <v>590</v>
      </c>
      <c r="B567" s="4" t="s">
        <v>22</v>
      </c>
      <c r="C567" s="4" t="s">
        <v>14</v>
      </c>
      <c r="D567" s="4" t="s">
        <v>15</v>
      </c>
      <c r="F567" s="5">
        <v>16</v>
      </c>
      <c r="G567" s="4" t="s">
        <v>591</v>
      </c>
      <c r="H567" s="4" t="s">
        <v>592</v>
      </c>
      <c r="I567" s="4" t="s">
        <v>593</v>
      </c>
      <c r="J567" s="4" t="s">
        <v>49</v>
      </c>
      <c r="K567" s="4" t="s">
        <v>44</v>
      </c>
      <c r="L567" s="4" t="s">
        <v>594</v>
      </c>
      <c r="M567" s="6" t="str">
        <f>HYPERLINK("http://maps.google.com/maps?f=q&amp;hl=en&amp;geocode=&amp;q=-28.33433,153.43339")</f>
        <v>http://maps.google.com/maps?f=q&amp;hl=en&amp;geocode=&amp;q=-28.33433,153.43339</v>
      </c>
    </row>
    <row r="568" spans="1:13" ht="60" x14ac:dyDescent="0.25">
      <c r="A568" s="4" t="s">
        <v>587</v>
      </c>
      <c r="B568" s="4" t="s">
        <v>22</v>
      </c>
      <c r="C568" s="4" t="s">
        <v>14</v>
      </c>
      <c r="D568" s="4" t="s">
        <v>15</v>
      </c>
      <c r="F568" s="5">
        <v>53</v>
      </c>
      <c r="G568" s="4" t="s">
        <v>588</v>
      </c>
      <c r="H568" s="4" t="s">
        <v>165</v>
      </c>
      <c r="J568" s="4" t="s">
        <v>19</v>
      </c>
      <c r="K568" s="4" t="s">
        <v>95</v>
      </c>
      <c r="L568" s="4" t="s">
        <v>589</v>
      </c>
      <c r="M568" s="6" t="str">
        <f>HYPERLINK("http://maps.google.com/maps?f=q&amp;hl=en&amp;geocode=&amp;q=-28.23429,153.54123")</f>
        <v>http://maps.google.com/maps?f=q&amp;hl=en&amp;geocode=&amp;q=-28.23429,153.54123</v>
      </c>
    </row>
    <row r="569" spans="1:13" ht="60" x14ac:dyDescent="0.25">
      <c r="A569" s="4" t="s">
        <v>583</v>
      </c>
      <c r="B569" s="4" t="s">
        <v>82</v>
      </c>
      <c r="C569" s="4" t="s">
        <v>70</v>
      </c>
      <c r="D569" s="4" t="s">
        <v>41</v>
      </c>
      <c r="F569" s="5">
        <v>72</v>
      </c>
      <c r="G569" s="4" t="s">
        <v>584</v>
      </c>
      <c r="H569" s="4" t="s">
        <v>191</v>
      </c>
      <c r="I569" s="4" t="s">
        <v>585</v>
      </c>
      <c r="J569" s="4" t="s">
        <v>25</v>
      </c>
      <c r="K569" s="4" t="s">
        <v>18</v>
      </c>
      <c r="L569" s="4" t="s">
        <v>586</v>
      </c>
      <c r="M569" s="6" t="str">
        <f>HYPERLINK("http://maps.google.com/maps?f=q&amp;hl=en&amp;geocode=&amp;q=-28.5442,153.54699")</f>
        <v>http://maps.google.com/maps?f=q&amp;hl=en&amp;geocode=&amp;q=-28.5442,153.54699</v>
      </c>
    </row>
    <row r="570" spans="1:13" ht="60" x14ac:dyDescent="0.25">
      <c r="A570" s="4" t="s">
        <v>579</v>
      </c>
      <c r="B570" s="4" t="s">
        <v>22</v>
      </c>
      <c r="C570" s="4" t="s">
        <v>14</v>
      </c>
      <c r="D570" s="4" t="s">
        <v>15</v>
      </c>
      <c r="F570" s="5" t="s">
        <v>580</v>
      </c>
      <c r="G570" s="4" t="s">
        <v>581</v>
      </c>
      <c r="H570" s="4" t="s">
        <v>110</v>
      </c>
      <c r="I570" s="4" t="s">
        <v>582</v>
      </c>
      <c r="J570" s="4" t="s">
        <v>19</v>
      </c>
      <c r="K570" s="4" t="s">
        <v>25</v>
      </c>
      <c r="M570" s="6" t="str">
        <f>HYPERLINK("http://maps.google.com/maps?f=q&amp;hl=en&amp;geocode=&amp;q=-28.32518,153.40129")</f>
        <v>http://maps.google.com/maps?f=q&amp;hl=en&amp;geocode=&amp;q=-28.32518,153.40129</v>
      </c>
    </row>
    <row r="571" spans="1:13" ht="60" x14ac:dyDescent="0.25">
      <c r="A571" s="4" t="s">
        <v>576</v>
      </c>
      <c r="B571" s="4" t="s">
        <v>69</v>
      </c>
      <c r="C571" s="4" t="s">
        <v>14</v>
      </c>
      <c r="D571" s="4" t="s">
        <v>15</v>
      </c>
      <c r="F571" s="5">
        <v>106</v>
      </c>
      <c r="G571" s="4" t="s">
        <v>254</v>
      </c>
      <c r="H571" s="4" t="s">
        <v>349</v>
      </c>
      <c r="I571" s="4" t="s">
        <v>577</v>
      </c>
      <c r="J571" s="4" t="s">
        <v>25</v>
      </c>
      <c r="K571" s="4" t="s">
        <v>49</v>
      </c>
      <c r="L571" s="4" t="s">
        <v>578</v>
      </c>
      <c r="M571" s="6" t="str">
        <f>HYPERLINK("http://maps.google.com/maps?f=q&amp;hl=en&amp;geocode=&amp;q=-29.67157,152.94359")</f>
        <v>http://maps.google.com/maps?f=q&amp;hl=en&amp;geocode=&amp;q=-29.67157,152.94359</v>
      </c>
    </row>
    <row r="572" spans="1:13" ht="60" x14ac:dyDescent="0.25">
      <c r="A572" s="4" t="s">
        <v>573</v>
      </c>
      <c r="B572" s="4" t="s">
        <v>82</v>
      </c>
      <c r="C572" s="4" t="s">
        <v>14</v>
      </c>
      <c r="D572" s="4" t="s">
        <v>15</v>
      </c>
      <c r="F572" s="5">
        <v>15</v>
      </c>
      <c r="G572" s="4" t="s">
        <v>574</v>
      </c>
      <c r="H572" s="4" t="s">
        <v>194</v>
      </c>
      <c r="I572" s="4" t="s">
        <v>575</v>
      </c>
      <c r="J572" s="4" t="s">
        <v>18</v>
      </c>
      <c r="K572" s="4" t="s">
        <v>49</v>
      </c>
      <c r="M572" s="6" t="str">
        <f>HYPERLINK("http://maps.google.com/maps?f=q&amp;hl=en&amp;geocode=&amp;q=-28.54772,153.49087")</f>
        <v>http://maps.google.com/maps?f=q&amp;hl=en&amp;geocode=&amp;q=-28.54772,153.49087</v>
      </c>
    </row>
    <row r="573" spans="1:13" ht="60" x14ac:dyDescent="0.25">
      <c r="A573" s="4" t="s">
        <v>568</v>
      </c>
      <c r="B573" s="4" t="s">
        <v>28</v>
      </c>
      <c r="C573" s="4" t="s">
        <v>14</v>
      </c>
      <c r="D573" s="4" t="s">
        <v>15</v>
      </c>
      <c r="F573" s="5" t="s">
        <v>569</v>
      </c>
      <c r="G573" s="4" t="s">
        <v>570</v>
      </c>
      <c r="H573" s="4" t="s">
        <v>107</v>
      </c>
      <c r="I573" s="4" t="s">
        <v>571</v>
      </c>
      <c r="J573" s="4" t="s">
        <v>25</v>
      </c>
      <c r="K573" s="4" t="s">
        <v>66</v>
      </c>
      <c r="L573" s="4" t="s">
        <v>572</v>
      </c>
      <c r="M573" s="6" t="str">
        <f>HYPERLINK("http://maps.google.com/maps?f=q&amp;hl=en&amp;geocode=&amp;q=-28.85688,153.5865")</f>
        <v>http://maps.google.com/maps?f=q&amp;hl=en&amp;geocode=&amp;q=-28.85688,153.5865</v>
      </c>
    </row>
    <row r="574" spans="1:13" ht="60" x14ac:dyDescent="0.25">
      <c r="A574" s="4" t="s">
        <v>563</v>
      </c>
      <c r="B574" s="4" t="s">
        <v>34</v>
      </c>
      <c r="C574" s="4" t="s">
        <v>14</v>
      </c>
      <c r="D574" s="4" t="s">
        <v>41</v>
      </c>
      <c r="F574" s="5">
        <v>3</v>
      </c>
      <c r="G574" s="4" t="s">
        <v>564</v>
      </c>
      <c r="H574" s="4" t="s">
        <v>565</v>
      </c>
      <c r="I574" s="4" t="s">
        <v>566</v>
      </c>
      <c r="J574" s="4" t="s">
        <v>31</v>
      </c>
      <c r="K574" s="4" t="s">
        <v>25</v>
      </c>
      <c r="L574" s="4" t="s">
        <v>567</v>
      </c>
      <c r="M574" s="6" t="str">
        <f>HYPERLINK("http://maps.google.com/maps?f=q&amp;hl=en&amp;geocode=&amp;q=-28.81973,153.27937")</f>
        <v>http://maps.google.com/maps?f=q&amp;hl=en&amp;geocode=&amp;q=-28.81973,153.27937</v>
      </c>
    </row>
    <row r="575" spans="1:13" ht="75" x14ac:dyDescent="0.25">
      <c r="A575" s="4" t="s">
        <v>558</v>
      </c>
      <c r="B575" s="4" t="s">
        <v>34</v>
      </c>
      <c r="C575" s="4" t="s">
        <v>70</v>
      </c>
      <c r="D575" s="4" t="s">
        <v>15</v>
      </c>
      <c r="F575" s="5">
        <v>384</v>
      </c>
      <c r="G575" s="4" t="s">
        <v>559</v>
      </c>
      <c r="H575" s="4" t="s">
        <v>560</v>
      </c>
      <c r="I575" s="4" t="s">
        <v>561</v>
      </c>
      <c r="J575" s="4" t="s">
        <v>44</v>
      </c>
      <c r="K575" s="4" t="s">
        <v>523</v>
      </c>
      <c r="L575" s="4" t="s">
        <v>562</v>
      </c>
      <c r="M575" s="6" t="str">
        <f>HYPERLINK("http://maps.google.com/maps?f=q&amp;hl=en&amp;geocode=&amp;q=43.8474502563477,-79.3784866333008")</f>
        <v>http://maps.google.com/maps?f=q&amp;hl=en&amp;geocode=&amp;q=43.8474502563477,-79.3784866333008</v>
      </c>
    </row>
    <row r="576" spans="1:13" ht="60" x14ac:dyDescent="0.25">
      <c r="A576" s="4" t="s">
        <v>554</v>
      </c>
      <c r="B576" s="4" t="s">
        <v>22</v>
      </c>
      <c r="C576" s="4" t="s">
        <v>14</v>
      </c>
      <c r="D576" s="4" t="s">
        <v>15</v>
      </c>
      <c r="F576" s="5">
        <v>33</v>
      </c>
      <c r="G576" s="4" t="s">
        <v>555</v>
      </c>
      <c r="H576" s="4" t="s">
        <v>296</v>
      </c>
      <c r="I576" s="4" t="s">
        <v>556</v>
      </c>
      <c r="J576" s="4" t="s">
        <v>31</v>
      </c>
      <c r="K576" s="4" t="s">
        <v>49</v>
      </c>
      <c r="L576" s="4" t="s">
        <v>557</v>
      </c>
      <c r="M576" s="6" t="str">
        <f>HYPERLINK("http://maps.google.com/maps?f=q&amp;hl=en&amp;geocode=&amp;q=-28.26117,153.57591")</f>
        <v>http://maps.google.com/maps?f=q&amp;hl=en&amp;geocode=&amp;q=-28.26117,153.57591</v>
      </c>
    </row>
    <row r="577" spans="1:13" ht="60" x14ac:dyDescent="0.25">
      <c r="A577" s="4" t="s">
        <v>549</v>
      </c>
      <c r="B577" s="4" t="s">
        <v>34</v>
      </c>
      <c r="C577" s="4" t="s">
        <v>14</v>
      </c>
      <c r="D577" s="4" t="s">
        <v>15</v>
      </c>
      <c r="F577" s="5">
        <v>12</v>
      </c>
      <c r="G577" s="4" t="s">
        <v>550</v>
      </c>
      <c r="H577" s="4" t="s">
        <v>551</v>
      </c>
      <c r="I577" s="4" t="s">
        <v>552</v>
      </c>
      <c r="J577" s="4" t="s">
        <v>25</v>
      </c>
      <c r="K577" s="4" t="s">
        <v>49</v>
      </c>
      <c r="L577" s="4" t="s">
        <v>553</v>
      </c>
      <c r="M577" s="6" t="str">
        <f>HYPERLINK("http://maps.google.com/maps?f=q&amp;hl=en&amp;geocode=&amp;q=-28.71735,153.30322")</f>
        <v>http://maps.google.com/maps?f=q&amp;hl=en&amp;geocode=&amp;q=-28.71735,153.30322</v>
      </c>
    </row>
    <row r="578" spans="1:13" ht="60" x14ac:dyDescent="0.25">
      <c r="A578" s="4" t="s">
        <v>546</v>
      </c>
      <c r="B578" s="4" t="s">
        <v>28</v>
      </c>
      <c r="C578" s="4" t="s">
        <v>14</v>
      </c>
      <c r="D578" s="4" t="s">
        <v>15</v>
      </c>
      <c r="F578" s="5">
        <v>58</v>
      </c>
      <c r="G578" s="4" t="s">
        <v>547</v>
      </c>
      <c r="H578" s="4" t="s">
        <v>464</v>
      </c>
      <c r="J578" s="4" t="s">
        <v>74</v>
      </c>
      <c r="K578" s="4" t="s">
        <v>19</v>
      </c>
      <c r="L578" s="4" t="s">
        <v>548</v>
      </c>
      <c r="M578" s="6" t="str">
        <f>HYPERLINK("http://maps.google.com/maps?f=q&amp;hl=en&amp;geocode=&amp;q=-28.85856,153.59563")</f>
        <v>http://maps.google.com/maps?f=q&amp;hl=en&amp;geocode=&amp;q=-28.85856,153.59563</v>
      </c>
    </row>
    <row r="579" spans="1:13" ht="60" x14ac:dyDescent="0.25">
      <c r="A579" s="4" t="s">
        <v>542</v>
      </c>
      <c r="B579" s="4" t="s">
        <v>28</v>
      </c>
      <c r="C579" s="4" t="s">
        <v>70</v>
      </c>
      <c r="D579" s="4" t="s">
        <v>15</v>
      </c>
      <c r="F579" s="5">
        <v>61</v>
      </c>
      <c r="G579" s="4" t="s">
        <v>543</v>
      </c>
      <c r="H579" s="4" t="s">
        <v>107</v>
      </c>
      <c r="I579" s="4" t="s">
        <v>544</v>
      </c>
      <c r="J579" s="4" t="s">
        <v>57</v>
      </c>
      <c r="K579" s="4" t="s">
        <v>49</v>
      </c>
      <c r="L579" s="4" t="s">
        <v>545</v>
      </c>
      <c r="M579" s="6" t="str">
        <f>HYPERLINK("http://maps.google.com/maps?f=q&amp;hl=en&amp;geocode=&amp;q=-28.85635,153.55672")</f>
        <v>http://maps.google.com/maps?f=q&amp;hl=en&amp;geocode=&amp;q=-28.85635,153.55672</v>
      </c>
    </row>
    <row r="580" spans="1:13" ht="60" x14ac:dyDescent="0.25">
      <c r="A580" s="4" t="s">
        <v>538</v>
      </c>
      <c r="B580" s="4" t="s">
        <v>34</v>
      </c>
      <c r="C580" s="4" t="s">
        <v>70</v>
      </c>
      <c r="D580" s="4" t="s">
        <v>41</v>
      </c>
      <c r="F580" s="5">
        <v>199</v>
      </c>
      <c r="G580" s="4" t="s">
        <v>539</v>
      </c>
      <c r="H580" s="4" t="s">
        <v>132</v>
      </c>
      <c r="I580" s="4" t="s">
        <v>540</v>
      </c>
      <c r="J580" s="4" t="s">
        <v>19</v>
      </c>
      <c r="K580" s="4" t="s">
        <v>49</v>
      </c>
      <c r="L580" s="4" t="s">
        <v>541</v>
      </c>
      <c r="M580" s="6" t="str">
        <f>HYPERLINK("http://maps.google.com/maps?f=q&amp;hl=en&amp;geocode=&amp;q=-28.82732,153.29047")</f>
        <v>http://maps.google.com/maps?f=q&amp;hl=en&amp;geocode=&amp;q=-28.82732,153.29047</v>
      </c>
    </row>
    <row r="581" spans="1:13" ht="60" x14ac:dyDescent="0.25">
      <c r="A581" s="4" t="s">
        <v>534</v>
      </c>
      <c r="B581" s="4" t="s">
        <v>82</v>
      </c>
      <c r="C581" s="4" t="s">
        <v>14</v>
      </c>
      <c r="D581" s="4" t="s">
        <v>41</v>
      </c>
      <c r="F581" s="5">
        <v>9</v>
      </c>
      <c r="G581" s="4" t="s">
        <v>536</v>
      </c>
      <c r="H581" s="4" t="s">
        <v>194</v>
      </c>
      <c r="J581" s="4" t="s">
        <v>25</v>
      </c>
      <c r="K581" s="4" t="s">
        <v>145</v>
      </c>
      <c r="L581" s="4" t="s">
        <v>537</v>
      </c>
      <c r="M581" s="6" t="str">
        <f>HYPERLINK("http://maps.google.com/maps?f=q&amp;hl=en&amp;geocode=&amp;q=-28.5606,153.49061")</f>
        <v>http://maps.google.com/maps?f=q&amp;hl=en&amp;geocode=&amp;q=-28.5606,153.49061</v>
      </c>
    </row>
    <row r="582" spans="1:13" ht="60" x14ac:dyDescent="0.25">
      <c r="A582" s="4" t="s">
        <v>532</v>
      </c>
      <c r="B582" s="4" t="s">
        <v>69</v>
      </c>
      <c r="C582" s="4" t="s">
        <v>14</v>
      </c>
      <c r="D582" s="4" t="s">
        <v>41</v>
      </c>
      <c r="F582" s="5">
        <v>30</v>
      </c>
      <c r="G582" s="4" t="s">
        <v>533</v>
      </c>
      <c r="H582" s="4" t="s">
        <v>72</v>
      </c>
      <c r="J582" s="4" t="s">
        <v>25</v>
      </c>
      <c r="K582" s="4" t="s">
        <v>31</v>
      </c>
      <c r="M582" s="6" t="str">
        <f>HYPERLINK("http://maps.google.com/maps?f=q&amp;hl=en&amp;geocode=&amp;q=-29.4226,153.3278")</f>
        <v>http://maps.google.com/maps?f=q&amp;hl=en&amp;geocode=&amp;q=-29.4226,153.3278</v>
      </c>
    </row>
    <row r="583" spans="1:13" ht="60" x14ac:dyDescent="0.25">
      <c r="A583" s="4" t="s">
        <v>528</v>
      </c>
      <c r="B583" s="4" t="s">
        <v>22</v>
      </c>
      <c r="C583" s="4" t="s">
        <v>70</v>
      </c>
      <c r="D583" s="4" t="s">
        <v>15</v>
      </c>
      <c r="F583" s="5">
        <v>14</v>
      </c>
      <c r="G583" s="4" t="s">
        <v>529</v>
      </c>
      <c r="H583" s="4" t="s">
        <v>165</v>
      </c>
      <c r="I583" s="4" t="s">
        <v>530</v>
      </c>
      <c r="J583" s="4" t="s">
        <v>25</v>
      </c>
      <c r="K583" s="4" t="s">
        <v>57</v>
      </c>
      <c r="L583" s="4" t="s">
        <v>531</v>
      </c>
      <c r="M583" s="6" t="str">
        <f>HYPERLINK("http://maps.google.com/maps?f=q&amp;hl=en&amp;geocode=&amp;q=-28.23007,153.54132")</f>
        <v>http://maps.google.com/maps?f=q&amp;hl=en&amp;geocode=&amp;q=-28.23007,153.54132</v>
      </c>
    </row>
    <row r="584" spans="1:13" ht="60" x14ac:dyDescent="0.25">
      <c r="A584" s="4" t="s">
        <v>525</v>
      </c>
      <c r="B584" s="4" t="s">
        <v>28</v>
      </c>
      <c r="C584" s="4" t="s">
        <v>14</v>
      </c>
      <c r="D584" s="4" t="s">
        <v>15</v>
      </c>
      <c r="F584" s="5">
        <v>8</v>
      </c>
      <c r="G584" s="4" t="s">
        <v>526</v>
      </c>
      <c r="H584" s="4" t="s">
        <v>107</v>
      </c>
      <c r="J584" s="4" t="s">
        <v>38</v>
      </c>
      <c r="K584" s="4" t="s">
        <v>19</v>
      </c>
      <c r="L584" s="4" t="s">
        <v>527</v>
      </c>
      <c r="M584" s="6" t="str">
        <f>HYPERLINK("http://maps.google.com/maps?f=q&amp;hl=en&amp;geocode=&amp;q=-28.86354,153.56946")</f>
        <v>http://maps.google.com/maps?f=q&amp;hl=en&amp;geocode=&amp;q=-28.86354,153.56946</v>
      </c>
    </row>
    <row r="585" spans="1:13" ht="60" x14ac:dyDescent="0.25">
      <c r="A585" s="4" t="s">
        <v>519</v>
      </c>
      <c r="B585" s="4" t="s">
        <v>22</v>
      </c>
      <c r="C585" s="4" t="s">
        <v>14</v>
      </c>
      <c r="D585" s="4" t="s">
        <v>15</v>
      </c>
      <c r="F585" s="5">
        <v>12</v>
      </c>
      <c r="G585" s="4" t="s">
        <v>520</v>
      </c>
      <c r="H585" s="4" t="s">
        <v>521</v>
      </c>
      <c r="I585" s="4" t="s">
        <v>522</v>
      </c>
      <c r="J585" s="4" t="s">
        <v>79</v>
      </c>
      <c r="K585" s="4" t="s">
        <v>523</v>
      </c>
      <c r="L585" s="4" t="s">
        <v>524</v>
      </c>
      <c r="M585" s="6" t="str">
        <f>HYPERLINK("http://maps.google.com/maps?f=q&amp;hl=en&amp;geocode=&amp;q=-28.19274,153.53624")</f>
        <v>http://maps.google.com/maps?f=q&amp;hl=en&amp;geocode=&amp;q=-28.19274,153.53624</v>
      </c>
    </row>
    <row r="586" spans="1:13" ht="60" x14ac:dyDescent="0.25">
      <c r="A586" s="4" t="s">
        <v>515</v>
      </c>
      <c r="B586" s="4" t="s">
        <v>69</v>
      </c>
      <c r="C586" s="4" t="s">
        <v>14</v>
      </c>
      <c r="D586" s="4" t="s">
        <v>15</v>
      </c>
      <c r="F586" s="5">
        <v>204</v>
      </c>
      <c r="G586" s="4" t="s">
        <v>516</v>
      </c>
      <c r="H586" s="4" t="s">
        <v>517</v>
      </c>
      <c r="J586" s="4" t="s">
        <v>57</v>
      </c>
      <c r="K586" s="4" t="s">
        <v>19</v>
      </c>
      <c r="L586" s="4" t="s">
        <v>518</v>
      </c>
      <c r="M586" s="6" t="str">
        <f>HYPERLINK("http://maps.google.com/maps?f=q&amp;hl=en&amp;geocode=&amp;q=-29.64282,152.9195")</f>
        <v>http://maps.google.com/maps?f=q&amp;hl=en&amp;geocode=&amp;q=-29.64282,152.9195</v>
      </c>
    </row>
    <row r="587" spans="1:13" ht="60" x14ac:dyDescent="0.25">
      <c r="A587" s="4" t="s">
        <v>510</v>
      </c>
      <c r="B587" s="4" t="s">
        <v>28</v>
      </c>
      <c r="C587" s="4" t="s">
        <v>14</v>
      </c>
      <c r="D587" s="4" t="s">
        <v>41</v>
      </c>
      <c r="F587" s="5">
        <v>38</v>
      </c>
      <c r="G587" s="4" t="s">
        <v>511</v>
      </c>
      <c r="H587" s="4" t="s">
        <v>512</v>
      </c>
      <c r="I587" s="4" t="s">
        <v>513</v>
      </c>
      <c r="J587" s="4" t="s">
        <v>237</v>
      </c>
      <c r="K587" s="4" t="s">
        <v>57</v>
      </c>
      <c r="L587" s="4" t="s">
        <v>514</v>
      </c>
      <c r="M587" s="6" t="str">
        <f>HYPERLINK("http://maps.google.com/maps?f=q&amp;hl=en&amp;geocode=&amp;q=-28.95011,153.45478")</f>
        <v>http://maps.google.com/maps?f=q&amp;hl=en&amp;geocode=&amp;q=-28.95011,153.45478</v>
      </c>
    </row>
    <row r="588" spans="1:13" ht="60" x14ac:dyDescent="0.25">
      <c r="A588" s="4" t="s">
        <v>505</v>
      </c>
      <c r="B588" s="4" t="s">
        <v>34</v>
      </c>
      <c r="C588" s="4" t="s">
        <v>70</v>
      </c>
      <c r="D588" s="4" t="s">
        <v>15</v>
      </c>
      <c r="F588" s="5">
        <v>15</v>
      </c>
      <c r="G588" s="4" t="s">
        <v>506</v>
      </c>
      <c r="H588" s="4" t="s">
        <v>507</v>
      </c>
      <c r="I588" s="4" t="s">
        <v>508</v>
      </c>
      <c r="J588" s="4" t="s">
        <v>31</v>
      </c>
      <c r="K588" s="4" t="s">
        <v>19</v>
      </c>
      <c r="L588" s="4" t="s">
        <v>509</v>
      </c>
      <c r="M588" s="6" t="str">
        <f>HYPERLINK("http://maps.google.com/maps?f=q&amp;hl=en&amp;geocode=&amp;q=-28.76173,153.33607")</f>
        <v>http://maps.google.com/maps?f=q&amp;hl=en&amp;geocode=&amp;q=-28.76173,153.33607</v>
      </c>
    </row>
    <row r="589" spans="1:13" ht="75" x14ac:dyDescent="0.25">
      <c r="A589" s="4" t="s">
        <v>500</v>
      </c>
      <c r="B589" s="4" t="s">
        <v>69</v>
      </c>
      <c r="C589" s="4" t="s">
        <v>14</v>
      </c>
      <c r="D589" s="4" t="s">
        <v>15</v>
      </c>
      <c r="F589" s="5">
        <v>43</v>
      </c>
      <c r="G589" s="4" t="s">
        <v>501</v>
      </c>
      <c r="H589" s="4" t="s">
        <v>502</v>
      </c>
      <c r="I589" s="4" t="s">
        <v>503</v>
      </c>
      <c r="J589" s="4" t="s">
        <v>38</v>
      </c>
      <c r="K589" s="4" t="s">
        <v>25</v>
      </c>
      <c r="L589" s="4" t="s">
        <v>504</v>
      </c>
      <c r="M589" s="6" t="str">
        <f>HYPERLINK("http://maps.google.com/maps?f=q&amp;hl=en&amp;geocode=&amp;q=-29.4815,153.3608999")</f>
        <v>http://maps.google.com/maps?f=q&amp;hl=en&amp;geocode=&amp;q=-29.4815,153.3608999</v>
      </c>
    </row>
    <row r="590" spans="1:13" ht="60" x14ac:dyDescent="0.25">
      <c r="A590" s="4" t="s">
        <v>497</v>
      </c>
      <c r="B590" s="4" t="s">
        <v>126</v>
      </c>
      <c r="C590" s="4" t="s">
        <v>14</v>
      </c>
      <c r="D590" s="4" t="s">
        <v>15</v>
      </c>
      <c r="F590" s="5">
        <v>43</v>
      </c>
      <c r="G590" s="4" t="s">
        <v>127</v>
      </c>
      <c r="H590" s="4" t="s">
        <v>128</v>
      </c>
      <c r="I590" s="4" t="s">
        <v>498</v>
      </c>
      <c r="J590" s="4" t="s">
        <v>57</v>
      </c>
      <c r="K590" s="4" t="s">
        <v>31</v>
      </c>
      <c r="L590" s="4" t="s">
        <v>499</v>
      </c>
      <c r="M590" s="6" t="str">
        <f>HYPERLINK("http://maps.google.com/maps?f=q&amp;hl=en&amp;geocode=&amp;q=-28.62297,153.00847")</f>
        <v>http://maps.google.com/maps?f=q&amp;hl=en&amp;geocode=&amp;q=-28.62297,153.00847</v>
      </c>
    </row>
    <row r="591" spans="1:13" ht="60" x14ac:dyDescent="0.25">
      <c r="A591" s="4" t="s">
        <v>494</v>
      </c>
      <c r="B591" s="4" t="s">
        <v>28</v>
      </c>
      <c r="C591" s="4" t="s">
        <v>70</v>
      </c>
      <c r="D591" s="4" t="s">
        <v>41</v>
      </c>
      <c r="F591" s="5">
        <v>5</v>
      </c>
      <c r="G591" s="4" t="s">
        <v>495</v>
      </c>
      <c r="H591" s="4" t="s">
        <v>107</v>
      </c>
      <c r="I591" s="4" t="s">
        <v>496</v>
      </c>
      <c r="J591" s="4" t="s">
        <v>50</v>
      </c>
      <c r="K591" s="4" t="s">
        <v>50</v>
      </c>
      <c r="M591" s="6" t="str">
        <f>HYPERLINK("http://maps.google.com/maps?f=q&amp;hl=en&amp;geocode=&amp;q=-28.86388,153.5179")</f>
        <v>http://maps.google.com/maps?f=q&amp;hl=en&amp;geocode=&amp;q=-28.86388,153.5179</v>
      </c>
    </row>
    <row r="592" spans="1:13" ht="60" x14ac:dyDescent="0.25">
      <c r="A592" s="4" t="s">
        <v>489</v>
      </c>
      <c r="B592" s="4" t="s">
        <v>34</v>
      </c>
      <c r="C592" s="4" t="s">
        <v>70</v>
      </c>
      <c r="D592" s="4" t="s">
        <v>15</v>
      </c>
      <c r="F592" s="5">
        <v>29</v>
      </c>
      <c r="G592" s="4" t="s">
        <v>490</v>
      </c>
      <c r="H592" s="4" t="s">
        <v>245</v>
      </c>
      <c r="I592" s="4" t="s">
        <v>491</v>
      </c>
      <c r="J592" s="4" t="s">
        <v>492</v>
      </c>
      <c r="L592" s="4" t="s">
        <v>493</v>
      </c>
      <c r="M592" s="6" t="str">
        <f>HYPERLINK("http://maps.google.com/maps?f=q&amp;hl=en&amp;geocode=&amp;q=-28.82819,153.2809")</f>
        <v>http://maps.google.com/maps?f=q&amp;hl=en&amp;geocode=&amp;q=-28.82819,153.2809</v>
      </c>
    </row>
    <row r="593" spans="1:13" ht="75" x14ac:dyDescent="0.25">
      <c r="A593" s="4" t="s">
        <v>486</v>
      </c>
      <c r="B593" s="4" t="s">
        <v>22</v>
      </c>
      <c r="C593" s="4" t="s">
        <v>14</v>
      </c>
      <c r="F593" s="5">
        <v>4</v>
      </c>
      <c r="G593" s="4" t="s">
        <v>487</v>
      </c>
      <c r="H593" s="4" t="s">
        <v>165</v>
      </c>
      <c r="I593" s="4" t="s">
        <v>488</v>
      </c>
      <c r="J593" s="4" t="s">
        <v>145</v>
      </c>
      <c r="K593" s="4" t="s">
        <v>25</v>
      </c>
      <c r="M593" s="6" t="str">
        <f>HYPERLINK("http://maps.google.com/maps?f=q&amp;hl=en&amp;geocode=&amp;q=37.8050804138184,-122.273071289063")</f>
        <v>http://maps.google.com/maps?f=q&amp;hl=en&amp;geocode=&amp;q=37.8050804138184,-122.273071289063</v>
      </c>
    </row>
    <row r="594" spans="1:13" ht="60" x14ac:dyDescent="0.25">
      <c r="A594" s="4" t="s">
        <v>483</v>
      </c>
      <c r="B594" s="4" t="s">
        <v>34</v>
      </c>
      <c r="C594" s="4" t="s">
        <v>14</v>
      </c>
      <c r="D594" s="4" t="s">
        <v>15</v>
      </c>
      <c r="F594" s="5">
        <v>306</v>
      </c>
      <c r="G594" s="4" t="s">
        <v>484</v>
      </c>
      <c r="H594" s="4" t="s">
        <v>132</v>
      </c>
      <c r="J594" s="4" t="s">
        <v>31</v>
      </c>
      <c r="K594" s="4" t="s">
        <v>25</v>
      </c>
      <c r="L594" s="4" t="s">
        <v>485</v>
      </c>
      <c r="M594" s="6" t="str">
        <f>HYPERLINK("http://maps.google.com/maps?f=q&amp;hl=en&amp;geocode=&amp;q=-28.81465,153.27268")</f>
        <v>http://maps.google.com/maps?f=q&amp;hl=en&amp;geocode=&amp;q=-28.81465,153.27268</v>
      </c>
    </row>
    <row r="595" spans="1:13" ht="60" x14ac:dyDescent="0.25">
      <c r="A595" s="4" t="s">
        <v>477</v>
      </c>
      <c r="B595" s="4" t="s">
        <v>82</v>
      </c>
      <c r="C595" s="4" t="s">
        <v>14</v>
      </c>
      <c r="D595" s="4" t="s">
        <v>478</v>
      </c>
      <c r="F595" s="5">
        <v>85</v>
      </c>
      <c r="G595" s="4" t="s">
        <v>479</v>
      </c>
      <c r="H595" s="4" t="s">
        <v>480</v>
      </c>
      <c r="I595" s="4" t="s">
        <v>481</v>
      </c>
      <c r="J595" s="4" t="s">
        <v>44</v>
      </c>
      <c r="K595" s="4" t="s">
        <v>18</v>
      </c>
      <c r="L595" s="4" t="s">
        <v>482</v>
      </c>
      <c r="M595" s="6" t="str">
        <f>HYPERLINK("http://maps.google.com/maps?f=q&amp;hl=en&amp;geocode=&amp;q=-28.64403,153.56209")</f>
        <v>http://maps.google.com/maps?f=q&amp;hl=en&amp;geocode=&amp;q=-28.64403,153.56209</v>
      </c>
    </row>
    <row r="596" spans="1:13" ht="60" x14ac:dyDescent="0.25">
      <c r="A596" s="4" t="s">
        <v>475</v>
      </c>
      <c r="B596" s="4" t="s">
        <v>82</v>
      </c>
      <c r="C596" s="4" t="s">
        <v>70</v>
      </c>
      <c r="D596" s="4" t="s">
        <v>15</v>
      </c>
      <c r="F596" s="5">
        <v>7</v>
      </c>
      <c r="G596" s="4" t="s">
        <v>456</v>
      </c>
      <c r="H596" s="4" t="s">
        <v>194</v>
      </c>
      <c r="J596" s="4" t="s">
        <v>18</v>
      </c>
      <c r="K596" s="4" t="s">
        <v>25</v>
      </c>
      <c r="L596" s="4" t="s">
        <v>476</v>
      </c>
      <c r="M596" s="6" t="str">
        <f>HYPERLINK("http://maps.google.com/maps?f=q&amp;hl=en&amp;geocode=&amp;q=-28.55672,153.48459")</f>
        <v>http://maps.google.com/maps?f=q&amp;hl=en&amp;geocode=&amp;q=-28.55672,153.48459</v>
      </c>
    </row>
    <row r="597" spans="1:13" ht="75" x14ac:dyDescent="0.25">
      <c r="A597" s="4" t="s">
        <v>471</v>
      </c>
      <c r="B597" s="4" t="s">
        <v>22</v>
      </c>
      <c r="C597" s="4" t="s">
        <v>14</v>
      </c>
      <c r="D597" s="4" t="s">
        <v>15</v>
      </c>
      <c r="F597" s="5" t="s">
        <v>472</v>
      </c>
      <c r="G597" s="4" t="s">
        <v>473</v>
      </c>
      <c r="H597" s="4" t="s">
        <v>165</v>
      </c>
      <c r="J597" s="4" t="s">
        <v>19</v>
      </c>
      <c r="K597" s="4" t="s">
        <v>251</v>
      </c>
      <c r="L597" s="4" t="s">
        <v>474</v>
      </c>
      <c r="M597" s="6" t="str">
        <f>HYPERLINK("http://maps.google.com/maps?f=q&amp;hl=en&amp;geocode=&amp;q=-28.21429,153.5213599")</f>
        <v>http://maps.google.com/maps?f=q&amp;hl=en&amp;geocode=&amp;q=-28.21429,153.5213599</v>
      </c>
    </row>
    <row r="598" spans="1:13" ht="60" x14ac:dyDescent="0.25">
      <c r="A598" s="4" t="s">
        <v>467</v>
      </c>
      <c r="B598" s="4" t="s">
        <v>22</v>
      </c>
      <c r="C598" s="4" t="s">
        <v>70</v>
      </c>
      <c r="D598" s="4" t="s">
        <v>15</v>
      </c>
      <c r="F598" s="5">
        <v>16</v>
      </c>
      <c r="G598" s="4" t="s">
        <v>468</v>
      </c>
      <c r="H598" s="4" t="s">
        <v>165</v>
      </c>
      <c r="I598" s="4" t="s">
        <v>469</v>
      </c>
      <c r="J598" s="4" t="s">
        <v>19</v>
      </c>
      <c r="K598" s="4" t="s">
        <v>44</v>
      </c>
      <c r="L598" s="4" t="s">
        <v>470</v>
      </c>
      <c r="M598" s="6" t="str">
        <f>HYPERLINK("http://maps.google.com/maps?f=q&amp;hl=en&amp;geocode=&amp;q=-28.22376,153.52943")</f>
        <v>http://maps.google.com/maps?f=q&amp;hl=en&amp;geocode=&amp;q=-28.22376,153.52943</v>
      </c>
    </row>
    <row r="599" spans="1:13" ht="60" x14ac:dyDescent="0.25">
      <c r="A599" s="4" t="s">
        <v>462</v>
      </c>
      <c r="B599" s="4" t="s">
        <v>28</v>
      </c>
      <c r="C599" s="4" t="s">
        <v>14</v>
      </c>
      <c r="D599" s="4" t="s">
        <v>15</v>
      </c>
      <c r="F599" s="5">
        <v>22</v>
      </c>
      <c r="G599" s="4" t="s">
        <v>463</v>
      </c>
      <c r="H599" s="4" t="s">
        <v>464</v>
      </c>
      <c r="I599" s="4" t="s">
        <v>465</v>
      </c>
      <c r="J599" s="4" t="s">
        <v>25</v>
      </c>
      <c r="K599" s="4" t="s">
        <v>19</v>
      </c>
      <c r="L599" s="4" t="s">
        <v>466</v>
      </c>
      <c r="M599" s="6" t="str">
        <f>HYPERLINK("http://maps.google.com/maps?f=q&amp;hl=en&amp;geocode=&amp;q=-28.86865,153.5872")</f>
        <v>http://maps.google.com/maps?f=q&amp;hl=en&amp;geocode=&amp;q=-28.86865,153.5872</v>
      </c>
    </row>
    <row r="600" spans="1:13" ht="60" x14ac:dyDescent="0.25">
      <c r="A600" s="4" t="s">
        <v>459</v>
      </c>
      <c r="B600" s="4" t="s">
        <v>82</v>
      </c>
      <c r="C600" s="4" t="s">
        <v>70</v>
      </c>
      <c r="D600" s="4" t="s">
        <v>15</v>
      </c>
      <c r="F600" s="5" t="s">
        <v>460</v>
      </c>
      <c r="G600" s="4" t="s">
        <v>83</v>
      </c>
      <c r="H600" s="4" t="s">
        <v>84</v>
      </c>
      <c r="I600" s="4" t="s">
        <v>461</v>
      </c>
      <c r="J600" s="4" t="s">
        <v>18</v>
      </c>
      <c r="K600" s="4" t="s">
        <v>50</v>
      </c>
      <c r="L600" s="4" t="s">
        <v>461</v>
      </c>
      <c r="M600" s="6" t="str">
        <f>HYPERLINK("http://maps.google.com/maps?f=q&amp;hl=en&amp;geocode=&amp;q=-28.6373,153.57904")</f>
        <v>http://maps.google.com/maps?f=q&amp;hl=en&amp;geocode=&amp;q=-28.6373,153.57904</v>
      </c>
    </row>
    <row r="601" spans="1:13" ht="60" x14ac:dyDescent="0.25">
      <c r="A601" s="4" t="s">
        <v>455</v>
      </c>
      <c r="B601" s="4" t="s">
        <v>82</v>
      </c>
      <c r="C601" s="4" t="s">
        <v>14</v>
      </c>
      <c r="D601" s="4" t="s">
        <v>15</v>
      </c>
      <c r="F601" s="5">
        <v>11</v>
      </c>
      <c r="G601" s="4" t="s">
        <v>456</v>
      </c>
      <c r="H601" s="4" t="s">
        <v>194</v>
      </c>
      <c r="I601" s="4" t="s">
        <v>457</v>
      </c>
      <c r="J601" s="4" t="s">
        <v>38</v>
      </c>
      <c r="K601" s="4" t="s">
        <v>44</v>
      </c>
      <c r="L601" s="4" t="s">
        <v>458</v>
      </c>
      <c r="M601" s="6" t="str">
        <f>HYPERLINK("http://maps.google.com/maps?f=q&amp;hl=en&amp;geocode=&amp;q=-28.55679,153.48497")</f>
        <v>http://maps.google.com/maps?f=q&amp;hl=en&amp;geocode=&amp;q=-28.55679,153.48497</v>
      </c>
    </row>
    <row r="602" spans="1:13" ht="60" x14ac:dyDescent="0.25">
      <c r="A602" s="4" t="s">
        <v>451</v>
      </c>
      <c r="B602" s="4" t="s">
        <v>34</v>
      </c>
      <c r="C602" s="4" t="s">
        <v>70</v>
      </c>
      <c r="D602" s="4" t="s">
        <v>15</v>
      </c>
      <c r="F602" s="5">
        <v>17</v>
      </c>
      <c r="G602" s="4" t="s">
        <v>452</v>
      </c>
      <c r="H602" s="4" t="s">
        <v>245</v>
      </c>
      <c r="I602" s="4" t="s">
        <v>453</v>
      </c>
      <c r="J602" s="4" t="s">
        <v>18</v>
      </c>
      <c r="K602" s="4" t="s">
        <v>44</v>
      </c>
      <c r="L602" s="4" t="s">
        <v>454</v>
      </c>
      <c r="M602" s="6" t="str">
        <f>HYPERLINK("http://maps.google.com/maps?f=q&amp;hl=en&amp;geocode=&amp;q=-28.80576,153.28181")</f>
        <v>http://maps.google.com/maps?f=q&amp;hl=en&amp;geocode=&amp;q=-28.80576,153.28181</v>
      </c>
    </row>
    <row r="603" spans="1:13" ht="75" x14ac:dyDescent="0.25">
      <c r="A603" s="4" t="s">
        <v>447</v>
      </c>
      <c r="B603" s="4" t="s">
        <v>28</v>
      </c>
      <c r="C603" s="4" t="s">
        <v>14</v>
      </c>
      <c r="D603" s="4" t="s">
        <v>15</v>
      </c>
      <c r="F603" s="5" t="s">
        <v>448</v>
      </c>
      <c r="G603" s="4" t="s">
        <v>222</v>
      </c>
      <c r="H603" s="4" t="s">
        <v>223</v>
      </c>
      <c r="I603" s="4" t="s">
        <v>449</v>
      </c>
      <c r="J603" s="4" t="s">
        <v>145</v>
      </c>
      <c r="K603" s="4" t="s">
        <v>44</v>
      </c>
      <c r="L603" s="4" t="s">
        <v>450</v>
      </c>
      <c r="M603" s="6" t="str">
        <f>HYPERLINK("http://maps.google.com/maps?f=q&amp;hl=en&amp;geocode=&amp;q=-28.82836,153.6046299")</f>
        <v>http://maps.google.com/maps?f=q&amp;hl=en&amp;geocode=&amp;q=-28.82836,153.6046299</v>
      </c>
    </row>
    <row r="604" spans="1:13" ht="60" x14ac:dyDescent="0.25">
      <c r="A604" s="4" t="s">
        <v>442</v>
      </c>
      <c r="B604" s="4" t="s">
        <v>34</v>
      </c>
      <c r="C604" s="4" t="s">
        <v>14</v>
      </c>
      <c r="D604" s="4" t="s">
        <v>15</v>
      </c>
      <c r="F604" s="5">
        <v>19</v>
      </c>
      <c r="G604" s="4" t="s">
        <v>443</v>
      </c>
      <c r="H604" s="4" t="s">
        <v>245</v>
      </c>
      <c r="I604" s="4" t="s">
        <v>444</v>
      </c>
      <c r="J604" s="4" t="s">
        <v>445</v>
      </c>
      <c r="K604" s="4" t="s">
        <v>445</v>
      </c>
      <c r="L604" s="4" t="s">
        <v>446</v>
      </c>
      <c r="M604" s="6" t="str">
        <f>HYPERLINK("http://maps.google.com/maps?f=q&amp;hl=en&amp;geocode=&amp;q=-28.80501,153.28636")</f>
        <v>http://maps.google.com/maps?f=q&amp;hl=en&amp;geocode=&amp;q=-28.80501,153.28636</v>
      </c>
    </row>
    <row r="605" spans="1:13" ht="60" x14ac:dyDescent="0.25">
      <c r="A605" s="4" t="s">
        <v>437</v>
      </c>
      <c r="B605" s="4" t="s">
        <v>82</v>
      </c>
      <c r="C605" s="4" t="s">
        <v>14</v>
      </c>
      <c r="D605" s="4" t="s">
        <v>15</v>
      </c>
      <c r="F605" s="5">
        <v>404</v>
      </c>
      <c r="G605" s="4" t="s">
        <v>438</v>
      </c>
      <c r="H605" s="4" t="s">
        <v>439</v>
      </c>
      <c r="I605" s="4" t="s">
        <v>440</v>
      </c>
      <c r="J605" s="4" t="s">
        <v>74</v>
      </c>
      <c r="K605" s="4" t="s">
        <v>31</v>
      </c>
      <c r="L605" s="4" t="s">
        <v>441</v>
      </c>
      <c r="M605" s="6" t="str">
        <f>HYPERLINK("http://maps.google.com/maps?f=q&amp;hl=en&amp;geocode=&amp;q=-28.50281,153.50305")</f>
        <v>http://maps.google.com/maps?f=q&amp;hl=en&amp;geocode=&amp;q=-28.50281,153.50305</v>
      </c>
    </row>
    <row r="606" spans="1:13" ht="60" x14ac:dyDescent="0.25">
      <c r="A606" s="4" t="s">
        <v>433</v>
      </c>
      <c r="B606" s="4" t="s">
        <v>22</v>
      </c>
      <c r="C606" s="4" t="s">
        <v>14</v>
      </c>
      <c r="D606" s="4" t="s">
        <v>15</v>
      </c>
      <c r="F606" s="5">
        <v>2</v>
      </c>
      <c r="G606" s="4" t="s">
        <v>434</v>
      </c>
      <c r="H606" s="4" t="s">
        <v>262</v>
      </c>
      <c r="I606" s="4" t="s">
        <v>435</v>
      </c>
      <c r="J606" s="4" t="s">
        <v>25</v>
      </c>
      <c r="K606" s="4" t="s">
        <v>31</v>
      </c>
      <c r="L606" s="4" t="s">
        <v>436</v>
      </c>
      <c r="M606" s="6" t="str">
        <f>HYPERLINK("http://maps.google.com/maps?f=q&amp;hl=en&amp;geocode=&amp;q=-28.3418,153.3737")</f>
        <v>http://maps.google.com/maps?f=q&amp;hl=en&amp;geocode=&amp;q=-28.3418,153.3737</v>
      </c>
    </row>
    <row r="607" spans="1:13" ht="60" x14ac:dyDescent="0.25">
      <c r="A607" s="4" t="s">
        <v>430</v>
      </c>
      <c r="B607" s="4" t="s">
        <v>22</v>
      </c>
      <c r="C607" s="4" t="s">
        <v>14</v>
      </c>
      <c r="D607" s="4" t="s">
        <v>15</v>
      </c>
      <c r="F607" s="5">
        <v>21</v>
      </c>
      <c r="G607" s="4" t="s">
        <v>431</v>
      </c>
      <c r="H607" s="4" t="s">
        <v>110</v>
      </c>
      <c r="I607" s="4" t="s">
        <v>432</v>
      </c>
      <c r="J607" s="4" t="s">
        <v>19</v>
      </c>
      <c r="K607" s="4" t="s">
        <v>25</v>
      </c>
      <c r="M607" s="6" t="str">
        <f>HYPERLINK("http://maps.google.com/maps?f=q&amp;hl=en&amp;geocode=&amp;q=-28.33062,153.38889")</f>
        <v>http://maps.google.com/maps?f=q&amp;hl=en&amp;geocode=&amp;q=-28.33062,153.38889</v>
      </c>
    </row>
    <row r="608" spans="1:13" ht="60" x14ac:dyDescent="0.25">
      <c r="A608" s="4" t="s">
        <v>426</v>
      </c>
      <c r="B608" s="4" t="s">
        <v>82</v>
      </c>
      <c r="C608" s="4" t="s">
        <v>14</v>
      </c>
      <c r="D608" s="4" t="s">
        <v>41</v>
      </c>
      <c r="F608" s="5">
        <v>30</v>
      </c>
      <c r="G608" s="4" t="s">
        <v>427</v>
      </c>
      <c r="H608" s="4" t="s">
        <v>191</v>
      </c>
      <c r="I608" s="4" t="s">
        <v>428</v>
      </c>
      <c r="J608" s="4" t="s">
        <v>18</v>
      </c>
      <c r="K608" s="4" t="s">
        <v>25</v>
      </c>
      <c r="L608" s="4" t="s">
        <v>429</v>
      </c>
      <c r="M608" s="6" t="str">
        <f>HYPERLINK("http://maps.google.com/maps?f=q&amp;hl=en&amp;geocode=&amp;q=-28.53998,153.54781")</f>
        <v>http://maps.google.com/maps?f=q&amp;hl=en&amp;geocode=&amp;q=-28.53998,153.54781</v>
      </c>
    </row>
    <row r="609" spans="1:13" ht="60" x14ac:dyDescent="0.25">
      <c r="A609" s="4" t="s">
        <v>424</v>
      </c>
      <c r="B609" s="4" t="s">
        <v>28</v>
      </c>
      <c r="C609" s="4" t="s">
        <v>14</v>
      </c>
      <c r="F609" s="5">
        <v>22</v>
      </c>
      <c r="G609" s="4" t="s">
        <v>425</v>
      </c>
      <c r="H609" s="4" t="s">
        <v>107</v>
      </c>
      <c r="J609" s="4" t="s">
        <v>49</v>
      </c>
      <c r="K609" s="4" t="s">
        <v>25</v>
      </c>
      <c r="M609" s="6" t="str">
        <f>HYPERLINK("http://maps.google.com/maps?f=q&amp;hl=en&amp;geocode=&amp;q=-28.8674,153.53683")</f>
        <v>http://maps.google.com/maps?f=q&amp;hl=en&amp;geocode=&amp;q=-28.8674,153.53683</v>
      </c>
    </row>
    <row r="610" spans="1:13" ht="60" x14ac:dyDescent="0.25">
      <c r="A610" s="4" t="s">
        <v>421</v>
      </c>
      <c r="B610" s="4" t="s">
        <v>22</v>
      </c>
      <c r="C610" s="4" t="s">
        <v>14</v>
      </c>
      <c r="D610" s="4" t="s">
        <v>15</v>
      </c>
      <c r="F610" s="5">
        <v>3</v>
      </c>
      <c r="G610" s="4" t="s">
        <v>422</v>
      </c>
      <c r="H610" s="4" t="s">
        <v>165</v>
      </c>
      <c r="I610" s="4" t="s">
        <v>423</v>
      </c>
      <c r="J610" s="4" t="s">
        <v>66</v>
      </c>
      <c r="K610" s="4" t="s">
        <v>18</v>
      </c>
      <c r="M610" s="6" t="str">
        <f>HYPERLINK("http://maps.google.com/maps?f=q&amp;hl=en&amp;geocode=&amp;q=-28.23004,153.52801")</f>
        <v>http://maps.google.com/maps?f=q&amp;hl=en&amp;geocode=&amp;q=-28.23004,153.52801</v>
      </c>
    </row>
    <row r="611" spans="1:13" ht="75" x14ac:dyDescent="0.25">
      <c r="A611" s="4" t="s">
        <v>417</v>
      </c>
      <c r="B611" s="4" t="s">
        <v>22</v>
      </c>
      <c r="C611" s="4" t="s">
        <v>14</v>
      </c>
      <c r="D611" s="4" t="s">
        <v>15</v>
      </c>
      <c r="F611" s="5">
        <v>15</v>
      </c>
      <c r="G611" s="4" t="s">
        <v>418</v>
      </c>
      <c r="H611" s="4" t="s">
        <v>296</v>
      </c>
      <c r="I611" s="4" t="s">
        <v>419</v>
      </c>
      <c r="J611" s="4" t="s">
        <v>18</v>
      </c>
      <c r="K611" s="4" t="s">
        <v>44</v>
      </c>
      <c r="L611" s="4" t="s">
        <v>420</v>
      </c>
      <c r="M611" s="6" t="str">
        <f>HYPERLINK("http://maps.google.com/maps?f=q&amp;hl=en&amp;geocode=&amp;q=-28.27998,153.5779499")</f>
        <v>http://maps.google.com/maps?f=q&amp;hl=en&amp;geocode=&amp;q=-28.27998,153.5779499</v>
      </c>
    </row>
    <row r="612" spans="1:13" ht="75" x14ac:dyDescent="0.25">
      <c r="A612" s="4" t="s">
        <v>413</v>
      </c>
      <c r="B612" s="4" t="s">
        <v>22</v>
      </c>
      <c r="C612" s="4" t="s">
        <v>70</v>
      </c>
      <c r="D612" s="4" t="s">
        <v>41</v>
      </c>
      <c r="F612" s="5">
        <v>151</v>
      </c>
      <c r="G612" s="4" t="s">
        <v>414</v>
      </c>
      <c r="H612" s="4" t="s">
        <v>165</v>
      </c>
      <c r="I612" s="4" t="s">
        <v>415</v>
      </c>
      <c r="J612" s="4" t="s">
        <v>31</v>
      </c>
      <c r="K612" s="4" t="s">
        <v>19</v>
      </c>
      <c r="L612" s="4" t="s">
        <v>416</v>
      </c>
      <c r="M612" s="6" t="str">
        <f>HYPERLINK("http://maps.google.com/maps?f=q&amp;hl=en&amp;geocode=&amp;q=-28.22201,153.5403399")</f>
        <v>http://maps.google.com/maps?f=q&amp;hl=en&amp;geocode=&amp;q=-28.22201,153.5403399</v>
      </c>
    </row>
    <row r="613" spans="1:13" ht="60" x14ac:dyDescent="0.25">
      <c r="A613" s="4" t="s">
        <v>411</v>
      </c>
      <c r="B613" s="4" t="s">
        <v>69</v>
      </c>
      <c r="C613" s="4" t="s">
        <v>70</v>
      </c>
      <c r="D613" s="4" t="s">
        <v>15</v>
      </c>
      <c r="F613" s="5">
        <v>214</v>
      </c>
      <c r="G613" s="4" t="s">
        <v>412</v>
      </c>
      <c r="H613" s="4" t="s">
        <v>349</v>
      </c>
      <c r="J613" s="4" t="s">
        <v>19</v>
      </c>
      <c r="M613" s="6" t="str">
        <f>HYPERLINK("http://maps.google.com/maps?f=q&amp;hl=en&amp;geocode=&amp;q=-29.68654,152.92643")</f>
        <v>http://maps.google.com/maps?f=q&amp;hl=en&amp;geocode=&amp;q=-29.68654,152.92643</v>
      </c>
    </row>
    <row r="614" spans="1:13" ht="60" x14ac:dyDescent="0.25">
      <c r="A614" s="4" t="s">
        <v>408</v>
      </c>
      <c r="B614" s="4" t="s">
        <v>28</v>
      </c>
      <c r="C614" s="4" t="s">
        <v>14</v>
      </c>
      <c r="D614" s="4" t="s">
        <v>15</v>
      </c>
      <c r="F614" s="5">
        <v>13</v>
      </c>
      <c r="G614" s="4" t="s">
        <v>409</v>
      </c>
      <c r="H614" s="4" t="s">
        <v>30</v>
      </c>
      <c r="J614" s="4" t="s">
        <v>25</v>
      </c>
      <c r="K614" s="4" t="s">
        <v>44</v>
      </c>
      <c r="L614" s="4" t="s">
        <v>410</v>
      </c>
      <c r="M614" s="6" t="str">
        <f>HYPERLINK("http://maps.google.com/maps?f=q&amp;hl=en&amp;geocode=&amp;q=-28.81545,153.58665")</f>
        <v>http://maps.google.com/maps?f=q&amp;hl=en&amp;geocode=&amp;q=-28.81545,153.58665</v>
      </c>
    </row>
    <row r="615" spans="1:13" ht="60" x14ac:dyDescent="0.25">
      <c r="A615" s="4" t="s">
        <v>404</v>
      </c>
      <c r="B615" s="4" t="s">
        <v>28</v>
      </c>
      <c r="C615" s="4" t="s">
        <v>14</v>
      </c>
      <c r="D615" s="4" t="s">
        <v>41</v>
      </c>
      <c r="F615" s="5">
        <v>14</v>
      </c>
      <c r="G615" s="4" t="s">
        <v>405</v>
      </c>
      <c r="H615" s="4" t="s">
        <v>107</v>
      </c>
      <c r="I615" s="4" t="s">
        <v>406</v>
      </c>
      <c r="J615" s="4" t="s">
        <v>224</v>
      </c>
      <c r="K615" s="4" t="s">
        <v>31</v>
      </c>
      <c r="L615" s="4" t="s">
        <v>407</v>
      </c>
      <c r="M615" s="6" t="str">
        <f>HYPERLINK("http://maps.google.com/maps?f=q&amp;hl=en&amp;geocode=&amp;q=-28.86246,153.56923")</f>
        <v>http://maps.google.com/maps?f=q&amp;hl=en&amp;geocode=&amp;q=-28.86246,153.56923</v>
      </c>
    </row>
    <row r="616" spans="1:13" ht="60" x14ac:dyDescent="0.25">
      <c r="A616" s="4" t="s">
        <v>401</v>
      </c>
      <c r="B616" s="4" t="s">
        <v>34</v>
      </c>
      <c r="C616" s="4" t="s">
        <v>14</v>
      </c>
      <c r="D616" s="4" t="s">
        <v>15</v>
      </c>
      <c r="F616" s="5">
        <v>407</v>
      </c>
      <c r="G616" s="4" t="s">
        <v>402</v>
      </c>
      <c r="H616" s="4" t="s">
        <v>403</v>
      </c>
      <c r="J616" s="4" t="s">
        <v>25</v>
      </c>
      <c r="K616" s="4" t="s">
        <v>145</v>
      </c>
      <c r="M616" s="6" t="str">
        <f>HYPERLINK("http://maps.google.com/maps?f=q&amp;hl=en&amp;geocode=&amp;q=-28.88432,153.31016")</f>
        <v>http://maps.google.com/maps?f=q&amp;hl=en&amp;geocode=&amp;q=-28.88432,153.31016</v>
      </c>
    </row>
    <row r="617" spans="1:13" ht="60" x14ac:dyDescent="0.25">
      <c r="A617" s="4" t="s">
        <v>398</v>
      </c>
      <c r="B617" s="4" t="s">
        <v>22</v>
      </c>
      <c r="C617" s="4" t="s">
        <v>14</v>
      </c>
      <c r="D617" s="4" t="s">
        <v>15</v>
      </c>
      <c r="F617" s="5">
        <v>4</v>
      </c>
      <c r="G617" s="4" t="s">
        <v>399</v>
      </c>
      <c r="H617" s="4" t="s">
        <v>231</v>
      </c>
      <c r="J617" s="4" t="s">
        <v>44</v>
      </c>
      <c r="L617" s="4" t="s">
        <v>400</v>
      </c>
      <c r="M617" s="6" t="str">
        <f>HYPERLINK("http://maps.google.com/maps?f=q&amp;hl=en&amp;geocode=&amp;q=-28.21283,153.48182")</f>
        <v>http://maps.google.com/maps?f=q&amp;hl=en&amp;geocode=&amp;q=-28.21283,153.48182</v>
      </c>
    </row>
    <row r="618" spans="1:13" ht="60" x14ac:dyDescent="0.25">
      <c r="A618" s="4" t="s">
        <v>394</v>
      </c>
      <c r="B618" s="4" t="s">
        <v>22</v>
      </c>
      <c r="C618" s="4" t="s">
        <v>70</v>
      </c>
      <c r="D618" s="4" t="s">
        <v>15</v>
      </c>
      <c r="F618" s="5">
        <v>6</v>
      </c>
      <c r="G618" s="4" t="s">
        <v>395</v>
      </c>
      <c r="H618" s="4" t="s">
        <v>296</v>
      </c>
      <c r="I618" s="4" t="s">
        <v>396</v>
      </c>
      <c r="J618" s="4" t="s">
        <v>18</v>
      </c>
      <c r="K618" s="4" t="s">
        <v>25</v>
      </c>
      <c r="L618" s="4" t="s">
        <v>397</v>
      </c>
      <c r="M618" s="6" t="str">
        <f>HYPERLINK("http://maps.google.com/maps?f=q&amp;hl=en&amp;geocode=&amp;q=-28.26397,153.57071")</f>
        <v>http://maps.google.com/maps?f=q&amp;hl=en&amp;geocode=&amp;q=-28.26397,153.57071</v>
      </c>
    </row>
    <row r="619" spans="1:13" ht="60" x14ac:dyDescent="0.25">
      <c r="A619" s="4" t="s">
        <v>390</v>
      </c>
      <c r="B619" s="4" t="s">
        <v>82</v>
      </c>
      <c r="C619" s="4" t="s">
        <v>14</v>
      </c>
      <c r="D619" s="4" t="s">
        <v>41</v>
      </c>
      <c r="F619" s="5">
        <v>106</v>
      </c>
      <c r="G619" s="4" t="s">
        <v>391</v>
      </c>
      <c r="H619" s="4" t="s">
        <v>154</v>
      </c>
      <c r="I619" s="4" t="s">
        <v>392</v>
      </c>
      <c r="J619" s="4" t="s">
        <v>31</v>
      </c>
      <c r="K619" s="4" t="s">
        <v>95</v>
      </c>
      <c r="L619" s="4" t="s">
        <v>393</v>
      </c>
      <c r="M619" s="6" t="str">
        <f>HYPERLINK("http://maps.google.com/maps?f=q&amp;hl=en&amp;geocode=&amp;q=-28.50599,153.5372")</f>
        <v>http://maps.google.com/maps?f=q&amp;hl=en&amp;geocode=&amp;q=-28.50599,153.5372</v>
      </c>
    </row>
    <row r="620" spans="1:13" ht="60" x14ac:dyDescent="0.25">
      <c r="A620" s="4" t="s">
        <v>384</v>
      </c>
      <c r="B620" s="4" t="s">
        <v>22</v>
      </c>
      <c r="C620" s="4" t="s">
        <v>14</v>
      </c>
      <c r="D620" s="4" t="s">
        <v>15</v>
      </c>
      <c r="F620" s="5" t="s">
        <v>386</v>
      </c>
      <c r="G620" s="4" t="s">
        <v>387</v>
      </c>
      <c r="H620" s="4" t="s">
        <v>165</v>
      </c>
      <c r="I620" s="4" t="s">
        <v>388</v>
      </c>
      <c r="J620" s="4" t="s">
        <v>18</v>
      </c>
      <c r="K620" s="4" t="s">
        <v>44</v>
      </c>
      <c r="L620" s="4" t="s">
        <v>389</v>
      </c>
      <c r="M620" s="6" t="str">
        <f>HYPERLINK("http://maps.google.com/maps?f=q&amp;hl=en&amp;geocode=&amp;q=-28.21647,153.53441")</f>
        <v>http://maps.google.com/maps?f=q&amp;hl=en&amp;geocode=&amp;q=-28.21647,153.53441</v>
      </c>
    </row>
    <row r="621" spans="1:13" ht="75" x14ac:dyDescent="0.25">
      <c r="A621" s="4" t="s">
        <v>380</v>
      </c>
      <c r="B621" s="4" t="s">
        <v>22</v>
      </c>
      <c r="C621" s="4" t="s">
        <v>14</v>
      </c>
      <c r="D621" s="4" t="s">
        <v>41</v>
      </c>
      <c r="F621" s="5">
        <v>9</v>
      </c>
      <c r="G621" s="4" t="s">
        <v>381</v>
      </c>
      <c r="H621" s="4" t="s">
        <v>296</v>
      </c>
      <c r="I621" s="4" t="s">
        <v>382</v>
      </c>
      <c r="J621" s="4" t="s">
        <v>49</v>
      </c>
      <c r="K621" s="4" t="s">
        <v>44</v>
      </c>
      <c r="L621" s="4" t="s">
        <v>383</v>
      </c>
      <c r="M621" s="6" t="str">
        <f>HYPERLINK("http://maps.google.com/maps?f=q&amp;hl=en&amp;geocode=&amp;q=-28.24985,153.5680999")</f>
        <v>http://maps.google.com/maps?f=q&amp;hl=en&amp;geocode=&amp;q=-28.24985,153.5680999</v>
      </c>
    </row>
    <row r="622" spans="1:13" ht="60" x14ac:dyDescent="0.25">
      <c r="A622" s="4" t="s">
        <v>377</v>
      </c>
      <c r="B622" s="4" t="s">
        <v>69</v>
      </c>
      <c r="C622" s="4" t="s">
        <v>14</v>
      </c>
      <c r="D622" s="4" t="s">
        <v>15</v>
      </c>
      <c r="F622" s="5">
        <v>73</v>
      </c>
      <c r="G622" s="4" t="s">
        <v>378</v>
      </c>
      <c r="H622" s="4" t="s">
        <v>72</v>
      </c>
      <c r="J622" s="4" t="s">
        <v>38</v>
      </c>
      <c r="K622" s="4" t="s">
        <v>44</v>
      </c>
      <c r="L622" s="4" t="s">
        <v>379</v>
      </c>
      <c r="M622" s="6" t="str">
        <f>HYPERLINK("http://maps.google.com/maps?f=q&amp;hl=en&amp;geocode=&amp;q=-29.42831,153.32826")</f>
        <v>http://maps.google.com/maps?f=q&amp;hl=en&amp;geocode=&amp;q=-29.42831,153.32826</v>
      </c>
    </row>
    <row r="623" spans="1:13" ht="60" x14ac:dyDescent="0.25">
      <c r="A623" s="4" t="s">
        <v>373</v>
      </c>
      <c r="B623" s="4" t="s">
        <v>13</v>
      </c>
      <c r="C623" s="4" t="s">
        <v>14</v>
      </c>
      <c r="D623" s="4" t="s">
        <v>15</v>
      </c>
      <c r="F623" s="5">
        <v>54</v>
      </c>
      <c r="G623" s="4" t="s">
        <v>374</v>
      </c>
      <c r="H623" s="4" t="s">
        <v>218</v>
      </c>
      <c r="I623" s="4" t="s">
        <v>375</v>
      </c>
      <c r="J623" s="4" t="s">
        <v>31</v>
      </c>
      <c r="K623" s="4" t="s">
        <v>117</v>
      </c>
      <c r="L623" s="4" t="s">
        <v>376</v>
      </c>
      <c r="M623" s="6" t="str">
        <f>HYPERLINK("http://maps.google.com/maps?f=q&amp;hl=en&amp;geocode=&amp;q=-28.86836,153.04068")</f>
        <v>http://maps.google.com/maps?f=q&amp;hl=en&amp;geocode=&amp;q=-28.86836,153.04068</v>
      </c>
    </row>
    <row r="624" spans="1:13" ht="60" x14ac:dyDescent="0.25">
      <c r="A624" s="4" t="s">
        <v>371</v>
      </c>
      <c r="B624" s="4" t="s">
        <v>126</v>
      </c>
      <c r="C624" s="4" t="s">
        <v>70</v>
      </c>
      <c r="D624" s="4" t="s">
        <v>15</v>
      </c>
      <c r="F624" s="5">
        <v>22</v>
      </c>
      <c r="G624" s="4" t="s">
        <v>148</v>
      </c>
      <c r="H624" s="4" t="s">
        <v>128</v>
      </c>
      <c r="I624" s="4" t="s">
        <v>372</v>
      </c>
      <c r="J624" s="4" t="s">
        <v>25</v>
      </c>
      <c r="K624" s="4" t="s">
        <v>145</v>
      </c>
      <c r="L624" s="4" t="s">
        <v>150</v>
      </c>
      <c r="M624" s="6" t="str">
        <f>HYPERLINK("http://maps.google.com/maps?f=q&amp;hl=en&amp;geocode=&amp;q=-28.63987,153.00439")</f>
        <v>http://maps.google.com/maps?f=q&amp;hl=en&amp;geocode=&amp;q=-28.63987,153.00439</v>
      </c>
    </row>
    <row r="625" spans="1:13" ht="75" x14ac:dyDescent="0.25">
      <c r="A625" s="4" t="s">
        <v>367</v>
      </c>
      <c r="B625" s="4" t="s">
        <v>28</v>
      </c>
      <c r="C625" s="4" t="s">
        <v>14</v>
      </c>
      <c r="D625" s="4" t="s">
        <v>15</v>
      </c>
      <c r="F625" s="5">
        <v>12</v>
      </c>
      <c r="G625" s="4" t="s">
        <v>368</v>
      </c>
      <c r="H625" s="4" t="s">
        <v>107</v>
      </c>
      <c r="I625" s="4" t="s">
        <v>369</v>
      </c>
      <c r="J625" s="4" t="s">
        <v>19</v>
      </c>
      <c r="K625" s="4" t="s">
        <v>18</v>
      </c>
      <c r="L625" s="4" t="s">
        <v>370</v>
      </c>
      <c r="M625" s="6" t="str">
        <f>HYPERLINK("http://maps.google.com/maps?f=q&amp;hl=en&amp;geocode=&amp;q=-28.85284,153.5523399")</f>
        <v>http://maps.google.com/maps?f=q&amp;hl=en&amp;geocode=&amp;q=-28.85284,153.5523399</v>
      </c>
    </row>
    <row r="626" spans="1:13" ht="60" x14ac:dyDescent="0.25">
      <c r="A626" s="4" t="s">
        <v>362</v>
      </c>
      <c r="B626" s="4" t="s">
        <v>82</v>
      </c>
      <c r="C626" s="4" t="s">
        <v>70</v>
      </c>
      <c r="D626" s="4" t="s">
        <v>335</v>
      </c>
      <c r="F626" s="5">
        <v>116</v>
      </c>
      <c r="G626" s="4" t="s">
        <v>363</v>
      </c>
      <c r="H626" s="4" t="s">
        <v>364</v>
      </c>
      <c r="I626" s="4" t="s">
        <v>365</v>
      </c>
      <c r="J626" s="4" t="s">
        <v>117</v>
      </c>
      <c r="K626" s="4" t="s">
        <v>237</v>
      </c>
      <c r="L626" s="4" t="s">
        <v>366</v>
      </c>
      <c r="M626" s="6" t="str">
        <f>HYPERLINK("http://maps.google.com/maps?f=q&amp;hl=en&amp;geocode=&amp;q=-28.49323,153.43368")</f>
        <v>http://maps.google.com/maps?f=q&amp;hl=en&amp;geocode=&amp;q=-28.49323,153.43368</v>
      </c>
    </row>
    <row r="627" spans="1:13" ht="60" x14ac:dyDescent="0.25">
      <c r="A627" s="4" t="s">
        <v>359</v>
      </c>
      <c r="B627" s="4" t="s">
        <v>13</v>
      </c>
      <c r="C627" s="4" t="s">
        <v>14</v>
      </c>
      <c r="D627" s="4" t="s">
        <v>15</v>
      </c>
      <c r="F627" s="5">
        <v>14</v>
      </c>
      <c r="G627" s="4" t="s">
        <v>360</v>
      </c>
      <c r="H627" s="4" t="s">
        <v>218</v>
      </c>
      <c r="I627" s="4" t="s">
        <v>361</v>
      </c>
      <c r="J627" s="4" t="s">
        <v>145</v>
      </c>
      <c r="K627" s="4" t="s">
        <v>57</v>
      </c>
      <c r="M627" s="6" t="str">
        <f>HYPERLINK("http://maps.google.com/maps?f=q&amp;hl=en&amp;geocode=&amp;q=-28.87156,153.0403")</f>
        <v>http://maps.google.com/maps?f=q&amp;hl=en&amp;geocode=&amp;q=-28.87156,153.0403</v>
      </c>
    </row>
    <row r="628" spans="1:13" ht="60" x14ac:dyDescent="0.25">
      <c r="A628" s="4" t="s">
        <v>355</v>
      </c>
      <c r="B628" s="4" t="s">
        <v>28</v>
      </c>
      <c r="C628" s="4" t="s">
        <v>14</v>
      </c>
      <c r="D628" s="4" t="s">
        <v>15</v>
      </c>
      <c r="F628" s="5">
        <v>11</v>
      </c>
      <c r="G628" s="4" t="s">
        <v>356</v>
      </c>
      <c r="H628" s="4" t="s">
        <v>107</v>
      </c>
      <c r="I628" s="4" t="s">
        <v>357</v>
      </c>
      <c r="J628" s="4" t="s">
        <v>66</v>
      </c>
      <c r="K628" s="4" t="s">
        <v>49</v>
      </c>
      <c r="L628" s="4" t="s">
        <v>358</v>
      </c>
      <c r="M628" s="6" t="str">
        <f>HYPERLINK("http://maps.google.com/maps?f=q&amp;hl=en&amp;geocode=&amp;q=-28.86018,153.56871")</f>
        <v>http://maps.google.com/maps?f=q&amp;hl=en&amp;geocode=&amp;q=-28.86018,153.56871</v>
      </c>
    </row>
    <row r="629" spans="1:13" ht="60" x14ac:dyDescent="0.25">
      <c r="A629" s="4" t="s">
        <v>352</v>
      </c>
      <c r="B629" s="4" t="s">
        <v>69</v>
      </c>
      <c r="C629" s="4" t="s">
        <v>14</v>
      </c>
      <c r="D629" s="4" t="s">
        <v>15</v>
      </c>
      <c r="F629" s="5">
        <v>83</v>
      </c>
      <c r="G629" s="4" t="s">
        <v>353</v>
      </c>
      <c r="H629" s="4" t="s">
        <v>349</v>
      </c>
      <c r="J629" s="4" t="s">
        <v>19</v>
      </c>
      <c r="K629" s="4" t="s">
        <v>25</v>
      </c>
      <c r="L629" s="4" t="s">
        <v>354</v>
      </c>
      <c r="M629" s="6" t="str">
        <f>HYPERLINK("http://maps.google.com/maps?f=q&amp;hl=en&amp;geocode=&amp;q=-29.68901,152.94074")</f>
        <v>http://maps.google.com/maps?f=q&amp;hl=en&amp;geocode=&amp;q=-29.68901,152.94074</v>
      </c>
    </row>
    <row r="630" spans="1:13" ht="75" x14ac:dyDescent="0.25">
      <c r="A630" s="4" t="s">
        <v>347</v>
      </c>
      <c r="B630" s="4" t="s">
        <v>69</v>
      </c>
      <c r="C630" s="4" t="s">
        <v>14</v>
      </c>
      <c r="D630" s="4" t="s">
        <v>15</v>
      </c>
      <c r="F630" s="5">
        <v>156</v>
      </c>
      <c r="G630" s="4" t="s">
        <v>348</v>
      </c>
      <c r="H630" s="4" t="s">
        <v>349</v>
      </c>
      <c r="I630" s="4" t="s">
        <v>350</v>
      </c>
      <c r="J630" s="4" t="s">
        <v>25</v>
      </c>
      <c r="K630" s="4" t="s">
        <v>49</v>
      </c>
      <c r="L630" s="4" t="s">
        <v>351</v>
      </c>
      <c r="M630" s="6" t="str">
        <f>HYPERLINK("http://maps.google.com/maps?f=q&amp;hl=en&amp;geocode=&amp;q=42.8381462097168,22.5788822174072")</f>
        <v>http://maps.google.com/maps?f=q&amp;hl=en&amp;geocode=&amp;q=42.8381462097168,22.5788822174072</v>
      </c>
    </row>
    <row r="631" spans="1:13" ht="60" x14ac:dyDescent="0.25">
      <c r="A631" s="4" t="s">
        <v>343</v>
      </c>
      <c r="B631" s="4" t="s">
        <v>28</v>
      </c>
      <c r="C631" s="4" t="s">
        <v>14</v>
      </c>
      <c r="D631" s="4" t="s">
        <v>15</v>
      </c>
      <c r="F631" s="5">
        <v>52</v>
      </c>
      <c r="G631" s="4" t="s">
        <v>344</v>
      </c>
      <c r="H631" s="4" t="s">
        <v>107</v>
      </c>
      <c r="I631" s="4" t="s">
        <v>345</v>
      </c>
      <c r="J631" s="4" t="s">
        <v>19</v>
      </c>
      <c r="K631" s="4" t="s">
        <v>18</v>
      </c>
      <c r="L631" s="4" t="s">
        <v>346</v>
      </c>
      <c r="M631" s="6" t="str">
        <f>HYPERLINK("http://maps.google.com/maps?f=q&amp;hl=en&amp;geocode=&amp;q=-28.86716,153.56832")</f>
        <v>http://maps.google.com/maps?f=q&amp;hl=en&amp;geocode=&amp;q=-28.86716,153.56832</v>
      </c>
    </row>
    <row r="632" spans="1:13" ht="60" x14ac:dyDescent="0.25">
      <c r="A632" s="4" t="s">
        <v>339</v>
      </c>
      <c r="B632" s="4" t="s">
        <v>34</v>
      </c>
      <c r="C632" s="4" t="s">
        <v>14</v>
      </c>
      <c r="D632" s="4" t="s">
        <v>15</v>
      </c>
      <c r="F632" s="5">
        <v>29</v>
      </c>
      <c r="G632" s="4" t="s">
        <v>340</v>
      </c>
      <c r="H632" s="4" t="s">
        <v>341</v>
      </c>
      <c r="I632" s="4" t="s">
        <v>342</v>
      </c>
      <c r="J632" s="4" t="s">
        <v>57</v>
      </c>
      <c r="K632" s="4" t="s">
        <v>31</v>
      </c>
      <c r="M632" s="6" t="str">
        <f>HYPERLINK("http://maps.google.com/maps?f=q&amp;hl=en&amp;geocode=&amp;q=-28.73086,153.40394")</f>
        <v>http://maps.google.com/maps?f=q&amp;hl=en&amp;geocode=&amp;q=-28.73086,153.40394</v>
      </c>
    </row>
    <row r="633" spans="1:13" ht="60" x14ac:dyDescent="0.25">
      <c r="A633" s="4" t="s">
        <v>334</v>
      </c>
      <c r="B633" s="4" t="s">
        <v>22</v>
      </c>
      <c r="C633" s="4" t="s">
        <v>14</v>
      </c>
      <c r="D633" s="4" t="s">
        <v>335</v>
      </c>
      <c r="F633" s="5">
        <v>184</v>
      </c>
      <c r="G633" s="4" t="s">
        <v>336</v>
      </c>
      <c r="H633" s="4" t="s">
        <v>110</v>
      </c>
      <c r="I633" s="4" t="s">
        <v>337</v>
      </c>
      <c r="J633" s="4" t="s">
        <v>31</v>
      </c>
      <c r="K633" s="4" t="s">
        <v>44</v>
      </c>
      <c r="L633" s="4" t="s">
        <v>338</v>
      </c>
      <c r="M633" s="6" t="str">
        <f>HYPERLINK("http://maps.google.com/maps?f=q&amp;hl=en&amp;geocode=&amp;q=-28.32573,153.38978")</f>
        <v>http://maps.google.com/maps?f=q&amp;hl=en&amp;geocode=&amp;q=-28.32573,153.38978</v>
      </c>
    </row>
    <row r="634" spans="1:13" ht="75" x14ac:dyDescent="0.25">
      <c r="A634" s="4" t="s">
        <v>330</v>
      </c>
      <c r="B634" s="4" t="s">
        <v>22</v>
      </c>
      <c r="C634" s="4" t="s">
        <v>70</v>
      </c>
      <c r="D634" s="4" t="s">
        <v>15</v>
      </c>
      <c r="F634" s="5">
        <v>12</v>
      </c>
      <c r="G634" s="4" t="s">
        <v>331</v>
      </c>
      <c r="H634" s="4" t="s">
        <v>24</v>
      </c>
      <c r="I634" s="4" t="s">
        <v>332</v>
      </c>
      <c r="J634" s="4" t="s">
        <v>25</v>
      </c>
      <c r="K634" s="4" t="s">
        <v>31</v>
      </c>
      <c r="L634" s="4" t="s">
        <v>333</v>
      </c>
      <c r="M634" s="6" t="str">
        <f>HYPERLINK("http://maps.google.com/maps?f=q&amp;hl=en&amp;geocode=&amp;q=-28.3372802734375,153.573791503906")</f>
        <v>http://maps.google.com/maps?f=q&amp;hl=en&amp;geocode=&amp;q=-28.3372802734375,153.573791503906</v>
      </c>
    </row>
    <row r="635" spans="1:13" ht="60" x14ac:dyDescent="0.25">
      <c r="A635" s="4" t="s">
        <v>325</v>
      </c>
      <c r="B635" s="4" t="s">
        <v>28</v>
      </c>
      <c r="C635" s="4" t="s">
        <v>14</v>
      </c>
      <c r="D635" s="4" t="s">
        <v>136</v>
      </c>
      <c r="E635" s="4" t="s">
        <v>326</v>
      </c>
      <c r="F635" s="5" t="s">
        <v>327</v>
      </c>
      <c r="G635" s="4" t="s">
        <v>328</v>
      </c>
      <c r="H635" s="4" t="s">
        <v>292</v>
      </c>
      <c r="J635" s="4" t="s">
        <v>25</v>
      </c>
      <c r="K635" s="4" t="s">
        <v>145</v>
      </c>
      <c r="L635" s="4" t="s">
        <v>329</v>
      </c>
      <c r="M635" s="6" t="str">
        <f>HYPERLINK("http://maps.google.com/maps?f=q&amp;hl=en&amp;geocode=&amp;q=-28.86768,153.54144")</f>
        <v>http://maps.google.com/maps?f=q&amp;hl=en&amp;geocode=&amp;q=-28.86768,153.54144</v>
      </c>
    </row>
    <row r="636" spans="1:13" ht="60" x14ac:dyDescent="0.25">
      <c r="A636" s="4" t="s">
        <v>322</v>
      </c>
      <c r="B636" s="4" t="s">
        <v>28</v>
      </c>
      <c r="C636" s="4" t="s">
        <v>70</v>
      </c>
      <c r="D636" s="4" t="s">
        <v>15</v>
      </c>
      <c r="F636" s="5">
        <v>134</v>
      </c>
      <c r="G636" s="4" t="s">
        <v>323</v>
      </c>
      <c r="H636" s="4" t="s">
        <v>107</v>
      </c>
      <c r="I636" s="4" t="s">
        <v>324</v>
      </c>
      <c r="J636" s="4" t="s">
        <v>19</v>
      </c>
      <c r="K636" s="4" t="s">
        <v>18</v>
      </c>
      <c r="M636" s="6" t="str">
        <f>HYPERLINK("http://maps.google.com/maps?f=q&amp;hl=en&amp;geocode=&amp;q=-28.859,153.55581")</f>
        <v>http://maps.google.com/maps?f=q&amp;hl=en&amp;geocode=&amp;q=-28.859,153.55581</v>
      </c>
    </row>
    <row r="637" spans="1:13" ht="60" x14ac:dyDescent="0.25">
      <c r="A637" s="4" t="s">
        <v>319</v>
      </c>
      <c r="B637" s="4" t="s">
        <v>82</v>
      </c>
      <c r="C637" s="4" t="s">
        <v>70</v>
      </c>
      <c r="D637" s="4" t="s">
        <v>15</v>
      </c>
      <c r="F637" s="5">
        <v>21</v>
      </c>
      <c r="G637" s="4" t="s">
        <v>320</v>
      </c>
      <c r="H637" s="4" t="s">
        <v>194</v>
      </c>
      <c r="I637" s="4" t="s">
        <v>321</v>
      </c>
      <c r="J637" s="4" t="s">
        <v>25</v>
      </c>
      <c r="K637" s="4" t="s">
        <v>44</v>
      </c>
      <c r="M637" s="6" t="str">
        <f>HYPERLINK("http://maps.google.com/maps?f=q&amp;hl=en&amp;geocode=&amp;q=-28.55701,153.50151")</f>
        <v>http://maps.google.com/maps?f=q&amp;hl=en&amp;geocode=&amp;q=-28.55701,153.50151</v>
      </c>
    </row>
    <row r="638" spans="1:13" ht="75" x14ac:dyDescent="0.25">
      <c r="A638" s="4" t="s">
        <v>314</v>
      </c>
      <c r="B638" s="4" t="s">
        <v>34</v>
      </c>
      <c r="C638" s="4" t="s">
        <v>70</v>
      </c>
      <c r="D638" s="4" t="s">
        <v>15</v>
      </c>
      <c r="F638" s="5">
        <v>1</v>
      </c>
      <c r="G638" s="4" t="s">
        <v>315</v>
      </c>
      <c r="H638" s="4" t="s">
        <v>316</v>
      </c>
      <c r="I638" s="4" t="s">
        <v>317</v>
      </c>
      <c r="J638" s="4" t="s">
        <v>237</v>
      </c>
      <c r="K638" s="4" t="s">
        <v>25</v>
      </c>
      <c r="L638" s="4" t="s">
        <v>318</v>
      </c>
      <c r="M638" s="6" t="str">
        <f>HYPERLINK("http://maps.google.com/maps?f=q&amp;hl=en&amp;geocode=&amp;q=-28.78584,153.3409299")</f>
        <v>http://maps.google.com/maps?f=q&amp;hl=en&amp;geocode=&amp;q=-28.78584,153.3409299</v>
      </c>
    </row>
    <row r="639" spans="1:13" ht="60" x14ac:dyDescent="0.25">
      <c r="A639" s="4" t="s">
        <v>308</v>
      </c>
      <c r="B639" s="4" t="s">
        <v>22</v>
      </c>
      <c r="C639" s="4" t="s">
        <v>14</v>
      </c>
      <c r="D639" s="4" t="s">
        <v>15</v>
      </c>
      <c r="F639" s="5" t="s">
        <v>309</v>
      </c>
      <c r="G639" s="4" t="s">
        <v>310</v>
      </c>
      <c r="H639" s="4" t="s">
        <v>311</v>
      </c>
      <c r="I639" s="4" t="s">
        <v>312</v>
      </c>
      <c r="J639" s="4" t="s">
        <v>19</v>
      </c>
      <c r="K639" s="4" t="s">
        <v>49</v>
      </c>
      <c r="L639" s="4" t="s">
        <v>313</v>
      </c>
      <c r="M639" s="6" t="str">
        <f>HYPERLINK("http://maps.google.com/maps?f=q&amp;hl=en&amp;geocode=&amp;q=-28.23916,153.56034")</f>
        <v>http://maps.google.com/maps?f=q&amp;hl=en&amp;geocode=&amp;q=-28.23916,153.56034</v>
      </c>
    </row>
    <row r="640" spans="1:13" ht="60" x14ac:dyDescent="0.25">
      <c r="A640" s="4" t="s">
        <v>305</v>
      </c>
      <c r="B640" s="4" t="s">
        <v>126</v>
      </c>
      <c r="C640" s="4" t="s">
        <v>14</v>
      </c>
      <c r="D640" s="4" t="s">
        <v>15</v>
      </c>
      <c r="F640" s="5" t="s">
        <v>306</v>
      </c>
      <c r="G640" s="4" t="s">
        <v>127</v>
      </c>
      <c r="H640" s="4" t="s">
        <v>128</v>
      </c>
      <c r="I640" s="4" t="s">
        <v>307</v>
      </c>
      <c r="J640" s="4" t="s">
        <v>25</v>
      </c>
      <c r="K640" s="4" t="s">
        <v>25</v>
      </c>
      <c r="L640" s="4" t="s">
        <v>74</v>
      </c>
      <c r="M640" s="6" t="str">
        <f>HYPERLINK("http://maps.google.com/maps?f=q&amp;hl=en&amp;geocode=&amp;q=-28.6218,153.00511")</f>
        <v>http://maps.google.com/maps?f=q&amp;hl=en&amp;geocode=&amp;q=-28.6218,153.00511</v>
      </c>
    </row>
    <row r="641" spans="1:13" ht="60" x14ac:dyDescent="0.25">
      <c r="A641" s="4" t="s">
        <v>302</v>
      </c>
      <c r="B641" s="4" t="s">
        <v>69</v>
      </c>
      <c r="C641" s="4" t="s">
        <v>14</v>
      </c>
      <c r="D641" s="4" t="s">
        <v>15</v>
      </c>
      <c r="F641" s="5">
        <v>76</v>
      </c>
      <c r="G641" s="4" t="s">
        <v>71</v>
      </c>
      <c r="H641" s="4" t="s">
        <v>72</v>
      </c>
      <c r="I641" s="4" t="s">
        <v>303</v>
      </c>
      <c r="J641" s="4" t="s">
        <v>18</v>
      </c>
      <c r="K641" s="4" t="s">
        <v>25</v>
      </c>
      <c r="L641" s="4" t="s">
        <v>304</v>
      </c>
      <c r="M641" s="6" t="str">
        <f>HYPERLINK("http://maps.google.com/maps?f=q&amp;hl=en&amp;geocode=&amp;q=-29.43759,153.35324")</f>
        <v>http://maps.google.com/maps?f=q&amp;hl=en&amp;geocode=&amp;q=-29.43759,153.35324</v>
      </c>
    </row>
    <row r="642" spans="1:13" ht="75" x14ac:dyDescent="0.25">
      <c r="A642" s="4" t="s">
        <v>297</v>
      </c>
      <c r="B642" s="4" t="s">
        <v>28</v>
      </c>
      <c r="C642" s="4" t="s">
        <v>14</v>
      </c>
      <c r="D642" s="4" t="s">
        <v>15</v>
      </c>
      <c r="F642" s="5">
        <v>70</v>
      </c>
      <c r="G642" s="4" t="s">
        <v>298</v>
      </c>
      <c r="H642" s="4" t="s">
        <v>299</v>
      </c>
      <c r="I642" s="4" t="s">
        <v>300</v>
      </c>
      <c r="J642" s="4" t="s">
        <v>31</v>
      </c>
      <c r="K642" s="4" t="s">
        <v>25</v>
      </c>
      <c r="L642" s="4" t="s">
        <v>301</v>
      </c>
      <c r="M642" s="6" t="str">
        <f>HYPERLINK("http://maps.google.com/maps?f=q&amp;hl=en&amp;geocode=&amp;q=-28.84855,153.4450699")</f>
        <v>http://maps.google.com/maps?f=q&amp;hl=en&amp;geocode=&amp;q=-28.84855,153.4450699</v>
      </c>
    </row>
    <row r="643" spans="1:13" ht="60" x14ac:dyDescent="0.25">
      <c r="A643" s="4" t="s">
        <v>294</v>
      </c>
      <c r="B643" s="4" t="s">
        <v>22</v>
      </c>
      <c r="C643" s="4" t="s">
        <v>14</v>
      </c>
      <c r="D643" s="4" t="s">
        <v>15</v>
      </c>
      <c r="F643" s="5">
        <v>23</v>
      </c>
      <c r="G643" s="4" t="s">
        <v>295</v>
      </c>
      <c r="H643" s="4" t="s">
        <v>296</v>
      </c>
      <c r="J643" s="4" t="s">
        <v>19</v>
      </c>
      <c r="K643" s="4" t="s">
        <v>49</v>
      </c>
      <c r="M643" s="6" t="str">
        <f>HYPERLINK("http://maps.google.com/maps?f=q&amp;hl=en&amp;geocode=&amp;q=-28.26446,153.57424")</f>
        <v>http://maps.google.com/maps?f=q&amp;hl=en&amp;geocode=&amp;q=-28.26446,153.57424</v>
      </c>
    </row>
    <row r="644" spans="1:13" ht="60" x14ac:dyDescent="0.25">
      <c r="A644" s="4" t="s">
        <v>290</v>
      </c>
      <c r="B644" s="4" t="s">
        <v>28</v>
      </c>
      <c r="C644" s="4" t="s">
        <v>14</v>
      </c>
      <c r="D644" s="4" t="s">
        <v>15</v>
      </c>
      <c r="F644" s="5">
        <v>9</v>
      </c>
      <c r="G644" s="4" t="s">
        <v>291</v>
      </c>
      <c r="H644" s="4" t="s">
        <v>292</v>
      </c>
      <c r="I644" s="4" t="s">
        <v>293</v>
      </c>
      <c r="J644" s="4" t="s">
        <v>19</v>
      </c>
      <c r="K644" s="4" t="s">
        <v>25</v>
      </c>
      <c r="M644" s="6" t="str">
        <f>HYPERLINK("http://maps.google.com/maps?f=q&amp;hl=en&amp;geocode=&amp;q=-28.86658,153.53136")</f>
        <v>http://maps.google.com/maps?f=q&amp;hl=en&amp;geocode=&amp;q=-28.86658,153.53136</v>
      </c>
    </row>
    <row r="645" spans="1:13" ht="60" x14ac:dyDescent="0.25">
      <c r="A645" s="4" t="s">
        <v>286</v>
      </c>
      <c r="B645" s="4" t="s">
        <v>22</v>
      </c>
      <c r="C645" s="4" t="s">
        <v>70</v>
      </c>
      <c r="D645" s="4" t="s">
        <v>41</v>
      </c>
      <c r="F645" s="5">
        <v>6</v>
      </c>
      <c r="G645" s="4" t="s">
        <v>287</v>
      </c>
      <c r="H645" s="4" t="s">
        <v>110</v>
      </c>
      <c r="I645" s="4" t="s">
        <v>288</v>
      </c>
      <c r="J645" s="4" t="s">
        <v>31</v>
      </c>
      <c r="K645" s="4" t="s">
        <v>25</v>
      </c>
      <c r="L645" s="4" t="s">
        <v>289</v>
      </c>
      <c r="M645" s="6" t="str">
        <f>HYPERLINK("http://maps.google.com/maps?f=q&amp;hl=en&amp;geocode=&amp;q=-28.33335,153.36536")</f>
        <v>http://maps.google.com/maps?f=q&amp;hl=en&amp;geocode=&amp;q=-28.33335,153.36536</v>
      </c>
    </row>
    <row r="646" spans="1:13" ht="60" x14ac:dyDescent="0.25">
      <c r="A646" s="4" t="s">
        <v>283</v>
      </c>
      <c r="B646" s="4" t="s">
        <v>82</v>
      </c>
      <c r="C646" s="4" t="s">
        <v>14</v>
      </c>
      <c r="D646" s="4" t="s">
        <v>15</v>
      </c>
      <c r="F646" s="5">
        <v>39</v>
      </c>
      <c r="G646" s="4" t="s">
        <v>284</v>
      </c>
      <c r="H646" s="4" t="s">
        <v>194</v>
      </c>
      <c r="J646" s="4" t="s">
        <v>31</v>
      </c>
      <c r="K646" s="4" t="s">
        <v>18</v>
      </c>
      <c r="L646" s="4" t="s">
        <v>285</v>
      </c>
      <c r="M646" s="6" t="str">
        <f>HYPERLINK("http://maps.google.com/maps?f=q&amp;hl=en&amp;geocode=&amp;q=-28.55711,153.48655")</f>
        <v>http://maps.google.com/maps?f=q&amp;hl=en&amp;geocode=&amp;q=-28.55711,153.48655</v>
      </c>
    </row>
    <row r="647" spans="1:13" ht="60" x14ac:dyDescent="0.25">
      <c r="A647" s="4" t="s">
        <v>279</v>
      </c>
      <c r="B647" s="4" t="s">
        <v>34</v>
      </c>
      <c r="C647" s="4" t="s">
        <v>14</v>
      </c>
      <c r="D647" s="4" t="s">
        <v>15</v>
      </c>
      <c r="F647" s="5">
        <v>8</v>
      </c>
      <c r="G647" s="4" t="s">
        <v>280</v>
      </c>
      <c r="H647" s="4" t="s">
        <v>61</v>
      </c>
      <c r="I647" s="4" t="s">
        <v>281</v>
      </c>
      <c r="J647" s="4" t="s">
        <v>19</v>
      </c>
      <c r="K647" s="4" t="s">
        <v>50</v>
      </c>
      <c r="L647" s="4" t="s">
        <v>282</v>
      </c>
      <c r="M647" s="6" t="str">
        <f>HYPERLINK("http://maps.google.com/maps?f=q&amp;hl=en&amp;geocode=&amp;q=-28.82244,153.30688")</f>
        <v>http://maps.google.com/maps?f=q&amp;hl=en&amp;geocode=&amp;q=-28.82244,153.30688</v>
      </c>
    </row>
    <row r="648" spans="1:13" ht="60" x14ac:dyDescent="0.25">
      <c r="A648" s="4" t="s">
        <v>277</v>
      </c>
      <c r="B648" s="4" t="s">
        <v>82</v>
      </c>
      <c r="C648" s="4" t="s">
        <v>14</v>
      </c>
      <c r="D648" s="4" t="s">
        <v>15</v>
      </c>
      <c r="F648" s="5">
        <v>19</v>
      </c>
      <c r="G648" s="4" t="s">
        <v>278</v>
      </c>
      <c r="H648" s="4" t="s">
        <v>154</v>
      </c>
      <c r="J648" s="4" t="s">
        <v>19</v>
      </c>
      <c r="K648" s="4" t="s">
        <v>44</v>
      </c>
      <c r="M648" s="6" t="str">
        <f>HYPERLINK("http://maps.google.com/maps?f=q&amp;hl=en&amp;geocode=&amp;q=-28.51973,153.54469")</f>
        <v>http://maps.google.com/maps?f=q&amp;hl=en&amp;geocode=&amp;q=-28.51973,153.54469</v>
      </c>
    </row>
    <row r="649" spans="1:13" ht="60" x14ac:dyDescent="0.25">
      <c r="A649" s="4" t="s">
        <v>274</v>
      </c>
      <c r="B649" s="4" t="s">
        <v>126</v>
      </c>
      <c r="C649" s="4" t="s">
        <v>14</v>
      </c>
      <c r="D649" s="4" t="s">
        <v>15</v>
      </c>
      <c r="F649" s="5">
        <v>59</v>
      </c>
      <c r="G649" s="4" t="s">
        <v>275</v>
      </c>
      <c r="H649" s="4" t="s">
        <v>128</v>
      </c>
      <c r="I649" s="4" t="s">
        <v>276</v>
      </c>
      <c r="J649" s="4" t="s">
        <v>18</v>
      </c>
      <c r="K649" s="4" t="s">
        <v>25</v>
      </c>
      <c r="M649" s="6" t="str">
        <f>HYPERLINK("http://maps.google.com/maps?f=q&amp;hl=en&amp;geocode=&amp;q=-28.62111,153.00572")</f>
        <v>http://maps.google.com/maps?f=q&amp;hl=en&amp;geocode=&amp;q=-28.62111,153.00572</v>
      </c>
    </row>
    <row r="650" spans="1:13" ht="60" x14ac:dyDescent="0.25">
      <c r="A650" s="4" t="s">
        <v>270</v>
      </c>
      <c r="B650" s="4" t="s">
        <v>22</v>
      </c>
      <c r="C650" s="4" t="s">
        <v>14</v>
      </c>
      <c r="D650" s="4" t="s">
        <v>15</v>
      </c>
      <c r="F650" s="5" t="s">
        <v>271</v>
      </c>
      <c r="G650" s="4" t="s">
        <v>272</v>
      </c>
      <c r="H650" s="4" t="s">
        <v>55</v>
      </c>
      <c r="I650" s="4" t="s">
        <v>273</v>
      </c>
      <c r="J650" s="4" t="s">
        <v>38</v>
      </c>
      <c r="K650" s="4" t="s">
        <v>19</v>
      </c>
      <c r="M650" s="6" t="str">
        <f>HYPERLINK("http://maps.google.com/maps?f=q&amp;hl=en&amp;geocode=&amp;q=-28.18101,153.54608")</f>
        <v>http://maps.google.com/maps?f=q&amp;hl=en&amp;geocode=&amp;q=-28.18101,153.54608</v>
      </c>
    </row>
    <row r="651" spans="1:13" ht="60" x14ac:dyDescent="0.25">
      <c r="A651" s="4" t="s">
        <v>267</v>
      </c>
      <c r="B651" s="4" t="s">
        <v>34</v>
      </c>
      <c r="C651" s="4" t="s">
        <v>14</v>
      </c>
      <c r="D651" s="4" t="s">
        <v>15</v>
      </c>
      <c r="F651" s="5">
        <v>128</v>
      </c>
      <c r="G651" s="4" t="s">
        <v>185</v>
      </c>
      <c r="H651" s="4" t="s">
        <v>186</v>
      </c>
      <c r="I651" s="4" t="s">
        <v>268</v>
      </c>
      <c r="J651" s="4" t="s">
        <v>19</v>
      </c>
      <c r="K651" s="4" t="s">
        <v>18</v>
      </c>
      <c r="L651" s="4" t="s">
        <v>269</v>
      </c>
      <c r="M651" s="6" t="str">
        <f>HYPERLINK("http://maps.google.com/maps?f=q&amp;hl=en&amp;geocode=&amp;q=-28.80392,153.29951")</f>
        <v>http://maps.google.com/maps?f=q&amp;hl=en&amp;geocode=&amp;q=-28.80392,153.29951</v>
      </c>
    </row>
    <row r="652" spans="1:13" ht="60" x14ac:dyDescent="0.25">
      <c r="A652" s="4" t="s">
        <v>264</v>
      </c>
      <c r="B652" s="4" t="s">
        <v>22</v>
      </c>
      <c r="C652" s="4" t="s">
        <v>14</v>
      </c>
      <c r="D652" s="4" t="s">
        <v>15</v>
      </c>
      <c r="F652" s="5">
        <v>80</v>
      </c>
      <c r="G652" s="4" t="s">
        <v>265</v>
      </c>
      <c r="H652" s="4" t="s">
        <v>165</v>
      </c>
      <c r="J652" s="4" t="s">
        <v>38</v>
      </c>
      <c r="K652" s="4" t="s">
        <v>31</v>
      </c>
      <c r="L652" s="4" t="s">
        <v>266</v>
      </c>
      <c r="M652" s="6" t="str">
        <f>HYPERLINK("http://maps.google.com/maps?f=q&amp;hl=en&amp;geocode=&amp;q=-28.22015,153.54566")</f>
        <v>http://maps.google.com/maps?f=q&amp;hl=en&amp;geocode=&amp;q=-28.22015,153.54566</v>
      </c>
    </row>
    <row r="653" spans="1:13" ht="60" x14ac:dyDescent="0.25">
      <c r="A653" s="4" t="s">
        <v>260</v>
      </c>
      <c r="B653" s="4" t="s">
        <v>22</v>
      </c>
      <c r="C653" s="4" t="s">
        <v>14</v>
      </c>
      <c r="D653" s="4" t="s">
        <v>15</v>
      </c>
      <c r="F653" s="5">
        <v>17</v>
      </c>
      <c r="G653" s="4" t="s">
        <v>261</v>
      </c>
      <c r="H653" s="4" t="s">
        <v>262</v>
      </c>
      <c r="J653" s="4" t="s">
        <v>19</v>
      </c>
      <c r="K653" s="4" t="s">
        <v>25</v>
      </c>
      <c r="L653" s="4" t="s">
        <v>263</v>
      </c>
      <c r="M653" s="6" t="str">
        <f>HYPERLINK("http://maps.google.com/maps?f=q&amp;hl=en&amp;geocode=&amp;q=-28.34444,153.37721")</f>
        <v>http://maps.google.com/maps?f=q&amp;hl=en&amp;geocode=&amp;q=-28.34444,153.37721</v>
      </c>
    </row>
    <row r="654" spans="1:13" ht="60" x14ac:dyDescent="0.25">
      <c r="A654" s="4" t="s">
        <v>257</v>
      </c>
      <c r="B654" s="4" t="s">
        <v>34</v>
      </c>
      <c r="C654" s="4" t="s">
        <v>14</v>
      </c>
      <c r="D654" s="4" t="s">
        <v>41</v>
      </c>
      <c r="F654" s="5">
        <v>22</v>
      </c>
      <c r="G654" s="4" t="s">
        <v>258</v>
      </c>
      <c r="H654" s="4" t="s">
        <v>61</v>
      </c>
      <c r="I654" s="4" t="s">
        <v>259</v>
      </c>
      <c r="J654" s="4" t="s">
        <v>25</v>
      </c>
      <c r="K654" s="4" t="s">
        <v>31</v>
      </c>
      <c r="M654" s="6" t="str">
        <f>HYPERLINK("http://maps.google.com/maps?f=q&amp;hl=en&amp;geocode=&amp;q=-28.82016,153.33496")</f>
        <v>http://maps.google.com/maps?f=q&amp;hl=en&amp;geocode=&amp;q=-28.82016,153.33496</v>
      </c>
    </row>
    <row r="655" spans="1:13" ht="60" x14ac:dyDescent="0.25">
      <c r="A655" s="4" t="s">
        <v>256</v>
      </c>
      <c r="B655" s="4" t="s">
        <v>28</v>
      </c>
      <c r="C655" s="4" t="s">
        <v>14</v>
      </c>
      <c r="D655" s="4" t="s">
        <v>15</v>
      </c>
      <c r="F655" s="5">
        <v>47</v>
      </c>
      <c r="G655" s="4" t="s">
        <v>169</v>
      </c>
      <c r="H655" s="4" t="s">
        <v>30</v>
      </c>
      <c r="I655" s="4" t="s">
        <v>31</v>
      </c>
      <c r="J655" s="4" t="s">
        <v>31</v>
      </c>
      <c r="K655" s="4" t="s">
        <v>49</v>
      </c>
      <c r="M655" s="6" t="str">
        <f>HYPERLINK("http://maps.google.com/maps?f=q&amp;hl=en&amp;geocode=&amp;q=-28.82013,153.59445")</f>
        <v>http://maps.google.com/maps?f=q&amp;hl=en&amp;geocode=&amp;q=-28.82013,153.59445</v>
      </c>
    </row>
    <row r="656" spans="1:13" ht="60" x14ac:dyDescent="0.25">
      <c r="A656" s="4" t="s">
        <v>253</v>
      </c>
      <c r="B656" s="4" t="s">
        <v>13</v>
      </c>
      <c r="C656" s="4" t="s">
        <v>14</v>
      </c>
      <c r="D656" s="4" t="s">
        <v>15</v>
      </c>
      <c r="F656" s="5">
        <v>22</v>
      </c>
      <c r="G656" s="4" t="s">
        <v>254</v>
      </c>
      <c r="H656" s="4" t="s">
        <v>218</v>
      </c>
      <c r="I656" s="4" t="s">
        <v>255</v>
      </c>
      <c r="J656" s="4" t="s">
        <v>66</v>
      </c>
      <c r="K656" s="4" t="s">
        <v>49</v>
      </c>
      <c r="M656" s="6" t="str">
        <f>HYPERLINK("http://maps.google.com/maps?f=q&amp;hl=en&amp;geocode=&amp;q=-28.8583,153.03534")</f>
        <v>http://maps.google.com/maps?f=q&amp;hl=en&amp;geocode=&amp;q=-28.8583,153.03534</v>
      </c>
    </row>
    <row r="657" spans="1:13" ht="60" x14ac:dyDescent="0.25">
      <c r="A657" s="4" t="s">
        <v>247</v>
      </c>
      <c r="B657" s="4" t="s">
        <v>22</v>
      </c>
      <c r="C657" s="4" t="s">
        <v>14</v>
      </c>
      <c r="D657" s="4" t="s">
        <v>15</v>
      </c>
      <c r="F657" s="5">
        <v>39</v>
      </c>
      <c r="G657" s="4" t="s">
        <v>248</v>
      </c>
      <c r="H657" s="4" t="s">
        <v>249</v>
      </c>
      <c r="I657" s="4" t="s">
        <v>250</v>
      </c>
      <c r="J657" s="4" t="s">
        <v>251</v>
      </c>
      <c r="K657" s="4" t="s">
        <v>18</v>
      </c>
      <c r="L657" s="4" t="s">
        <v>252</v>
      </c>
      <c r="M657" s="6" t="str">
        <f>HYPERLINK("http://maps.google.com/maps?f=q&amp;hl=en&amp;geocode=&amp;q=-28.3592,153.20914")</f>
        <v>http://maps.google.com/maps?f=q&amp;hl=en&amp;geocode=&amp;q=-28.3592,153.20914</v>
      </c>
    </row>
    <row r="658" spans="1:13" ht="60" x14ac:dyDescent="0.25">
      <c r="A658" s="4" t="s">
        <v>243</v>
      </c>
      <c r="B658" s="4" t="s">
        <v>34</v>
      </c>
      <c r="C658" s="4" t="s">
        <v>70</v>
      </c>
      <c r="D658" s="4" t="s">
        <v>15</v>
      </c>
      <c r="F658" s="5">
        <v>14</v>
      </c>
      <c r="G658" s="4" t="s">
        <v>244</v>
      </c>
      <c r="H658" s="4" t="s">
        <v>245</v>
      </c>
      <c r="I658" s="4" t="s">
        <v>246</v>
      </c>
      <c r="J658" s="4" t="s">
        <v>18</v>
      </c>
      <c r="K658" s="4" t="s">
        <v>25</v>
      </c>
      <c r="M658" s="6" t="str">
        <f>HYPERLINK("http://maps.google.com/maps?f=q&amp;hl=en&amp;geocode=&amp;q=-28.81615,153.28771")</f>
        <v>http://maps.google.com/maps?f=q&amp;hl=en&amp;geocode=&amp;q=-28.81615,153.28771</v>
      </c>
    </row>
    <row r="659" spans="1:13" ht="60" x14ac:dyDescent="0.25">
      <c r="A659" s="4" t="s">
        <v>239</v>
      </c>
      <c r="B659" s="4" t="s">
        <v>13</v>
      </c>
      <c r="C659" s="4" t="s">
        <v>70</v>
      </c>
      <c r="D659" s="4" t="s">
        <v>15</v>
      </c>
      <c r="F659" s="5">
        <v>137</v>
      </c>
      <c r="G659" s="4" t="s">
        <v>240</v>
      </c>
      <c r="H659" s="4" t="s">
        <v>218</v>
      </c>
      <c r="I659" s="4" t="s">
        <v>241</v>
      </c>
      <c r="J659" s="4" t="s">
        <v>31</v>
      </c>
      <c r="K659" s="4" t="s">
        <v>18</v>
      </c>
      <c r="L659" s="4" t="s">
        <v>242</v>
      </c>
      <c r="M659" s="6" t="str">
        <f>HYPERLINK("http://maps.google.com/maps?f=q&amp;hl=en&amp;geocode=&amp;q=-28.84923,153.03955")</f>
        <v>http://maps.google.com/maps?f=q&amp;hl=en&amp;geocode=&amp;q=-28.84923,153.03955</v>
      </c>
    </row>
    <row r="660" spans="1:13" ht="60" x14ac:dyDescent="0.25">
      <c r="A660" s="4" t="s">
        <v>233</v>
      </c>
      <c r="B660" s="4" t="s">
        <v>28</v>
      </c>
      <c r="C660" s="4" t="s">
        <v>14</v>
      </c>
      <c r="D660" s="4" t="s">
        <v>15</v>
      </c>
      <c r="F660" s="5">
        <v>762</v>
      </c>
      <c r="G660" s="4" t="s">
        <v>234</v>
      </c>
      <c r="H660" s="4" t="s">
        <v>235</v>
      </c>
      <c r="I660" s="4" t="s">
        <v>236</v>
      </c>
      <c r="J660" s="4" t="s">
        <v>19</v>
      </c>
      <c r="K660" s="4" t="s">
        <v>237</v>
      </c>
      <c r="L660" s="4" t="s">
        <v>238</v>
      </c>
      <c r="M660" s="6" t="str">
        <f>HYPERLINK("http://maps.google.com/maps?f=q&amp;hl=en&amp;geocode=&amp;q=-28.7642,153.45051")</f>
        <v>http://maps.google.com/maps?f=q&amp;hl=en&amp;geocode=&amp;q=-28.7642,153.45051</v>
      </c>
    </row>
    <row r="661" spans="1:13" ht="60" x14ac:dyDescent="0.25">
      <c r="A661" s="4" t="s">
        <v>229</v>
      </c>
      <c r="B661" s="4" t="s">
        <v>22</v>
      </c>
      <c r="C661" s="4" t="s">
        <v>14</v>
      </c>
      <c r="D661" s="4" t="s">
        <v>15</v>
      </c>
      <c r="F661" s="5">
        <v>79</v>
      </c>
      <c r="G661" s="4" t="s">
        <v>230</v>
      </c>
      <c r="H661" s="4" t="s">
        <v>231</v>
      </c>
      <c r="I661" s="4" t="s">
        <v>232</v>
      </c>
      <c r="J661" s="4" t="s">
        <v>44</v>
      </c>
      <c r="K661" s="4" t="s">
        <v>18</v>
      </c>
      <c r="L661" s="4" t="s">
        <v>224</v>
      </c>
      <c r="M661" s="6" t="str">
        <f>HYPERLINK("http://maps.google.com/maps?f=q&amp;hl=en&amp;geocode=&amp;q=-28.21471,153.49806")</f>
        <v>http://maps.google.com/maps?f=q&amp;hl=en&amp;geocode=&amp;q=-28.21471,153.49806</v>
      </c>
    </row>
    <row r="662" spans="1:13" ht="75" x14ac:dyDescent="0.25">
      <c r="A662" s="4" t="s">
        <v>225</v>
      </c>
      <c r="B662" s="4" t="s">
        <v>22</v>
      </c>
      <c r="C662" s="4" t="s">
        <v>14</v>
      </c>
      <c r="D662" s="4" t="s">
        <v>15</v>
      </c>
      <c r="F662" s="5" t="s">
        <v>226</v>
      </c>
      <c r="G662" s="4" t="s">
        <v>227</v>
      </c>
      <c r="H662" s="4" t="s">
        <v>165</v>
      </c>
      <c r="I662" s="4" t="s">
        <v>228</v>
      </c>
      <c r="J662" s="4" t="s">
        <v>19</v>
      </c>
      <c r="K662" s="4" t="s">
        <v>18</v>
      </c>
      <c r="L662" s="4" t="s">
        <v>73</v>
      </c>
      <c r="M662" s="6" t="str">
        <f>HYPERLINK("http://maps.google.com/maps?f=q&amp;hl=en&amp;geocode=&amp;q=-28.21594,153.5289699")</f>
        <v>http://maps.google.com/maps?f=q&amp;hl=en&amp;geocode=&amp;q=-28.21594,153.5289699</v>
      </c>
    </row>
    <row r="663" spans="1:13" ht="60" x14ac:dyDescent="0.25">
      <c r="A663" s="4" t="s">
        <v>220</v>
      </c>
      <c r="B663" s="4" t="s">
        <v>28</v>
      </c>
      <c r="C663" s="4" t="s">
        <v>14</v>
      </c>
      <c r="D663" s="4" t="s">
        <v>15</v>
      </c>
      <c r="F663" s="5" t="s">
        <v>221</v>
      </c>
      <c r="G663" s="4" t="s">
        <v>222</v>
      </c>
      <c r="H663" s="4" t="s">
        <v>223</v>
      </c>
      <c r="J663" s="4" t="s">
        <v>224</v>
      </c>
      <c r="K663" s="4" t="s">
        <v>19</v>
      </c>
      <c r="M663" s="6" t="str">
        <f>HYPERLINK("http://maps.google.com/maps?f=q&amp;hl=en&amp;geocode=&amp;q=-28.82903,153.60442")</f>
        <v>http://maps.google.com/maps?f=q&amp;hl=en&amp;geocode=&amp;q=-28.82903,153.60442</v>
      </c>
    </row>
    <row r="664" spans="1:13" ht="60" x14ac:dyDescent="0.25">
      <c r="A664" s="4" t="s">
        <v>216</v>
      </c>
      <c r="B664" s="4" t="s">
        <v>13</v>
      </c>
      <c r="C664" s="4" t="s">
        <v>70</v>
      </c>
      <c r="F664" s="5">
        <v>18</v>
      </c>
      <c r="G664" s="4" t="s">
        <v>217</v>
      </c>
      <c r="H664" s="4" t="s">
        <v>218</v>
      </c>
      <c r="I664" s="4" t="s">
        <v>219</v>
      </c>
      <c r="J664" s="4" t="s">
        <v>18</v>
      </c>
      <c r="K664" s="4" t="s">
        <v>95</v>
      </c>
      <c r="L664" s="4" t="s">
        <v>19</v>
      </c>
      <c r="M664" s="6" t="str">
        <f>HYPERLINK("http://maps.google.com/maps?f=q&amp;hl=en&amp;geocode=&amp;q=-28.86954,153.04069")</f>
        <v>http://maps.google.com/maps?f=q&amp;hl=en&amp;geocode=&amp;q=-28.86954,153.04069</v>
      </c>
    </row>
    <row r="665" spans="1:13" ht="60" x14ac:dyDescent="0.25">
      <c r="A665" s="4" t="s">
        <v>211</v>
      </c>
      <c r="B665" s="4" t="s">
        <v>22</v>
      </c>
      <c r="C665" s="4" t="s">
        <v>14</v>
      </c>
      <c r="D665" s="4" t="s">
        <v>15</v>
      </c>
      <c r="F665" s="5">
        <v>75</v>
      </c>
      <c r="G665" s="4" t="s">
        <v>212</v>
      </c>
      <c r="H665" s="4" t="s">
        <v>213</v>
      </c>
      <c r="I665" s="4" t="s">
        <v>214</v>
      </c>
      <c r="J665" s="4" t="s">
        <v>66</v>
      </c>
      <c r="L665" s="4" t="s">
        <v>215</v>
      </c>
      <c r="M665" s="6" t="str">
        <f>HYPERLINK("http://maps.google.com/maps?f=q&amp;hl=en&amp;geocode=&amp;q=-28.32514,153.46911")</f>
        <v>http://maps.google.com/maps?f=q&amp;hl=en&amp;geocode=&amp;q=-28.32514,153.46911</v>
      </c>
    </row>
    <row r="666" spans="1:13" ht="60" x14ac:dyDescent="0.25">
      <c r="A666" s="4" t="s">
        <v>207</v>
      </c>
      <c r="B666" s="4" t="s">
        <v>28</v>
      </c>
      <c r="C666" s="4" t="s">
        <v>70</v>
      </c>
      <c r="D666" s="4" t="s">
        <v>41</v>
      </c>
      <c r="F666" s="5">
        <v>10</v>
      </c>
      <c r="G666" s="4" t="s">
        <v>208</v>
      </c>
      <c r="H666" s="4" t="s">
        <v>30</v>
      </c>
      <c r="I666" s="4" t="s">
        <v>209</v>
      </c>
      <c r="J666" s="4" t="s">
        <v>38</v>
      </c>
      <c r="K666" s="4" t="s">
        <v>19</v>
      </c>
      <c r="L666" s="4" t="s">
        <v>210</v>
      </c>
      <c r="M666" s="6" t="str">
        <f>HYPERLINK("http://maps.google.com/maps?f=q&amp;hl=en&amp;geocode=&amp;q=-28.8036,153.58866")</f>
        <v>http://maps.google.com/maps?f=q&amp;hl=en&amp;geocode=&amp;q=-28.8036,153.58866</v>
      </c>
    </row>
    <row r="667" spans="1:13" ht="75" x14ac:dyDescent="0.25">
      <c r="A667" s="4" t="s">
        <v>204</v>
      </c>
      <c r="B667" s="4" t="s">
        <v>28</v>
      </c>
      <c r="C667" s="4" t="s">
        <v>14</v>
      </c>
      <c r="D667" s="4" t="s">
        <v>15</v>
      </c>
      <c r="F667" s="5">
        <v>3</v>
      </c>
      <c r="G667" s="4" t="s">
        <v>205</v>
      </c>
      <c r="H667" s="4" t="s">
        <v>30</v>
      </c>
      <c r="I667" s="4" t="s">
        <v>206</v>
      </c>
      <c r="J667" s="4" t="s">
        <v>18</v>
      </c>
      <c r="K667" s="4" t="s">
        <v>44</v>
      </c>
      <c r="M667" s="6" t="str">
        <f>HYPERLINK("http://maps.google.com/maps?f=q&amp;hl=en&amp;geocode=&amp;q=-28.82044,153.5870799")</f>
        <v>http://maps.google.com/maps?f=q&amp;hl=en&amp;geocode=&amp;q=-28.82044,153.5870799</v>
      </c>
    </row>
    <row r="668" spans="1:13" ht="60" x14ac:dyDescent="0.25">
      <c r="A668" s="4" t="s">
        <v>201</v>
      </c>
      <c r="B668" s="4" t="s">
        <v>69</v>
      </c>
      <c r="C668" s="4" t="s">
        <v>70</v>
      </c>
      <c r="D668" s="4" t="s">
        <v>15</v>
      </c>
      <c r="F668" s="5">
        <v>29</v>
      </c>
      <c r="G668" s="4" t="s">
        <v>202</v>
      </c>
      <c r="H668" s="4" t="s">
        <v>203</v>
      </c>
      <c r="J668" s="4" t="s">
        <v>18</v>
      </c>
      <c r="K668" s="4" t="s">
        <v>19</v>
      </c>
      <c r="L668" s="4" t="s">
        <v>74</v>
      </c>
      <c r="M668" s="6" t="str">
        <f>HYPERLINK("http://maps.google.com/maps?f=q&amp;hl=en&amp;geocode=&amp;q=-29.40308,153.3533")</f>
        <v>http://maps.google.com/maps?f=q&amp;hl=en&amp;geocode=&amp;q=-29.40308,153.3533</v>
      </c>
    </row>
    <row r="669" spans="1:13" ht="60" x14ac:dyDescent="0.25">
      <c r="A669" s="4" t="s">
        <v>197</v>
      </c>
      <c r="B669" s="4" t="s">
        <v>22</v>
      </c>
      <c r="C669" s="4" t="s">
        <v>14</v>
      </c>
      <c r="D669" s="4" t="s">
        <v>15</v>
      </c>
      <c r="F669" s="5" t="s">
        <v>198</v>
      </c>
      <c r="G669" s="4" t="s">
        <v>199</v>
      </c>
      <c r="H669" s="4" t="s">
        <v>110</v>
      </c>
      <c r="I669" s="4" t="s">
        <v>200</v>
      </c>
      <c r="J669" s="4" t="s">
        <v>66</v>
      </c>
      <c r="K669" s="4" t="s">
        <v>145</v>
      </c>
      <c r="M669" s="6" t="str">
        <f>HYPERLINK("http://maps.google.com/maps?f=q&amp;hl=en&amp;geocode=&amp;q=-28.34207,153.36318")</f>
        <v>http://maps.google.com/maps?f=q&amp;hl=en&amp;geocode=&amp;q=-28.34207,153.36318</v>
      </c>
    </row>
    <row r="670" spans="1:13" ht="60" x14ac:dyDescent="0.25">
      <c r="A670" s="4" t="s">
        <v>192</v>
      </c>
      <c r="B670" s="4" t="s">
        <v>82</v>
      </c>
      <c r="C670" s="4" t="s">
        <v>14</v>
      </c>
      <c r="D670" s="4" t="s">
        <v>15</v>
      </c>
      <c r="F670" s="5">
        <v>62</v>
      </c>
      <c r="G670" s="4" t="s">
        <v>193</v>
      </c>
      <c r="H670" s="4" t="s">
        <v>194</v>
      </c>
      <c r="I670" s="4" t="s">
        <v>195</v>
      </c>
      <c r="J670" s="4" t="s">
        <v>19</v>
      </c>
      <c r="L670" s="4" t="s">
        <v>196</v>
      </c>
      <c r="M670" s="6" t="str">
        <f>HYPERLINK("http://maps.google.com/maps?f=q&amp;hl=en&amp;geocode=&amp;q=-28.55562,153.50916")</f>
        <v>http://maps.google.com/maps?f=q&amp;hl=en&amp;geocode=&amp;q=-28.55562,153.50916</v>
      </c>
    </row>
    <row r="671" spans="1:13" ht="60" x14ac:dyDescent="0.25">
      <c r="A671" s="4" t="s">
        <v>189</v>
      </c>
      <c r="B671" s="4" t="s">
        <v>82</v>
      </c>
      <c r="C671" s="4" t="s">
        <v>14</v>
      </c>
      <c r="D671" s="4" t="s">
        <v>15</v>
      </c>
      <c r="F671" s="5">
        <v>18</v>
      </c>
      <c r="G671" s="4" t="s">
        <v>190</v>
      </c>
      <c r="H671" s="4" t="s">
        <v>191</v>
      </c>
      <c r="J671" s="4" t="s">
        <v>19</v>
      </c>
      <c r="K671" s="4" t="s">
        <v>19</v>
      </c>
      <c r="M671" s="6" t="str">
        <f>HYPERLINK("http://maps.google.com/maps?f=q&amp;hl=en&amp;geocode=&amp;q=-28.54535,153.54525")</f>
        <v>http://maps.google.com/maps?f=q&amp;hl=en&amp;geocode=&amp;q=-28.54535,153.54525</v>
      </c>
    </row>
    <row r="672" spans="1:13" ht="60" x14ac:dyDescent="0.25">
      <c r="A672" s="4" t="s">
        <v>184</v>
      </c>
      <c r="B672" s="4" t="s">
        <v>34</v>
      </c>
      <c r="C672" s="4" t="s">
        <v>14</v>
      </c>
      <c r="D672" s="4" t="s">
        <v>15</v>
      </c>
      <c r="F672" s="5">
        <v>54</v>
      </c>
      <c r="G672" s="4" t="s">
        <v>185</v>
      </c>
      <c r="H672" s="4" t="s">
        <v>186</v>
      </c>
      <c r="I672" s="4" t="s">
        <v>187</v>
      </c>
      <c r="J672" s="4" t="s">
        <v>31</v>
      </c>
      <c r="K672" s="4" t="s">
        <v>18</v>
      </c>
      <c r="L672" s="4" t="s">
        <v>188</v>
      </c>
      <c r="M672" s="6" t="str">
        <f>HYPERLINK("http://maps.google.com/maps?f=q&amp;hl=en&amp;geocode=&amp;q=-28.80208,153.29307")</f>
        <v>http://maps.google.com/maps?f=q&amp;hl=en&amp;geocode=&amp;q=-28.80208,153.29307</v>
      </c>
    </row>
    <row r="673" spans="1:13" ht="75" x14ac:dyDescent="0.25">
      <c r="A673" s="4" t="s">
        <v>182</v>
      </c>
      <c r="B673" s="4" t="s">
        <v>82</v>
      </c>
      <c r="C673" s="4" t="s">
        <v>14</v>
      </c>
      <c r="D673" s="4" t="s">
        <v>15</v>
      </c>
      <c r="F673" s="5">
        <v>2</v>
      </c>
      <c r="G673" s="4" t="s">
        <v>183</v>
      </c>
      <c r="H673" s="4" t="s">
        <v>154</v>
      </c>
      <c r="J673" s="4" t="s">
        <v>66</v>
      </c>
      <c r="K673" s="4" t="s">
        <v>18</v>
      </c>
      <c r="M673" s="6" t="str">
        <f>HYPERLINK("http://maps.google.com/maps?f=q&amp;hl=en&amp;geocode=&amp;q=47.0115585327148,-124.164077758789")</f>
        <v>http://maps.google.com/maps?f=q&amp;hl=en&amp;geocode=&amp;q=47.0115585327148,-124.164077758789</v>
      </c>
    </row>
    <row r="674" spans="1:13" ht="60" x14ac:dyDescent="0.25">
      <c r="A674" s="4" t="s">
        <v>179</v>
      </c>
      <c r="B674" s="4" t="s">
        <v>22</v>
      </c>
      <c r="C674" s="4" t="s">
        <v>70</v>
      </c>
      <c r="D674" s="4" t="s">
        <v>15</v>
      </c>
      <c r="F674" s="5">
        <v>220</v>
      </c>
      <c r="G674" s="4" t="s">
        <v>180</v>
      </c>
      <c r="H674" s="4" t="s">
        <v>160</v>
      </c>
      <c r="J674" s="4" t="s">
        <v>18</v>
      </c>
      <c r="K674" s="4" t="s">
        <v>18</v>
      </c>
      <c r="L674" s="4" t="s">
        <v>181</v>
      </c>
      <c r="M674" s="6" t="str">
        <f>HYPERLINK("http://maps.google.com/maps?f=q&amp;hl=en&amp;geocode=&amp;q=-28.18911,153.51185")</f>
        <v>http://maps.google.com/maps?f=q&amp;hl=en&amp;geocode=&amp;q=-28.18911,153.51185</v>
      </c>
    </row>
    <row r="675" spans="1:13" ht="60" x14ac:dyDescent="0.25">
      <c r="A675" s="4" t="s">
        <v>174</v>
      </c>
      <c r="B675" s="4" t="s">
        <v>82</v>
      </c>
      <c r="C675" s="4" t="s">
        <v>14</v>
      </c>
      <c r="D675" s="4" t="s">
        <v>15</v>
      </c>
      <c r="F675" s="5" t="s">
        <v>175</v>
      </c>
      <c r="G675" s="4" t="s">
        <v>176</v>
      </c>
      <c r="H675" s="4" t="s">
        <v>154</v>
      </c>
      <c r="I675" s="4" t="s">
        <v>177</v>
      </c>
      <c r="J675" s="4" t="s">
        <v>18</v>
      </c>
      <c r="K675" s="4" t="s">
        <v>31</v>
      </c>
      <c r="L675" s="4" t="s">
        <v>178</v>
      </c>
      <c r="M675" s="6" t="str">
        <f>HYPERLINK("http://maps.google.com/maps?f=q&amp;hl=en&amp;geocode=&amp;q=-28.52723,153.54488")</f>
        <v>http://maps.google.com/maps?f=q&amp;hl=en&amp;geocode=&amp;q=-28.52723,153.54488</v>
      </c>
    </row>
    <row r="676" spans="1:13" ht="60" x14ac:dyDescent="0.25">
      <c r="A676" s="4" t="s">
        <v>171</v>
      </c>
      <c r="B676" s="4" t="s">
        <v>22</v>
      </c>
      <c r="C676" s="4" t="s">
        <v>14</v>
      </c>
      <c r="D676" s="4" t="s">
        <v>15</v>
      </c>
      <c r="F676" s="5">
        <v>31</v>
      </c>
      <c r="G676" s="4" t="s">
        <v>172</v>
      </c>
      <c r="H676" s="4" t="s">
        <v>110</v>
      </c>
      <c r="J676" s="4" t="s">
        <v>19</v>
      </c>
      <c r="K676" s="4" t="s">
        <v>25</v>
      </c>
      <c r="L676" s="4" t="s">
        <v>173</v>
      </c>
      <c r="M676" s="6" t="str">
        <f>HYPERLINK("http://maps.google.com/maps?f=q&amp;hl=en&amp;geocode=&amp;q=-28.33685,153.35987")</f>
        <v>http://maps.google.com/maps?f=q&amp;hl=en&amp;geocode=&amp;q=-28.33685,153.35987</v>
      </c>
    </row>
    <row r="677" spans="1:13" ht="60" x14ac:dyDescent="0.25">
      <c r="A677" s="4" t="s">
        <v>168</v>
      </c>
      <c r="B677" s="4" t="s">
        <v>28</v>
      </c>
      <c r="C677" s="4" t="s">
        <v>70</v>
      </c>
      <c r="D677" s="4" t="s">
        <v>15</v>
      </c>
      <c r="F677" s="5">
        <v>47</v>
      </c>
      <c r="G677" s="4" t="s">
        <v>169</v>
      </c>
      <c r="H677" s="4" t="s">
        <v>30</v>
      </c>
      <c r="I677" s="4" t="s">
        <v>31</v>
      </c>
      <c r="J677" s="4" t="s">
        <v>31</v>
      </c>
      <c r="K677" s="4" t="s">
        <v>49</v>
      </c>
      <c r="L677" s="4" t="s">
        <v>170</v>
      </c>
      <c r="M677" s="6" t="str">
        <f>HYPERLINK("http://maps.google.com/maps?f=q&amp;hl=en&amp;geocode=&amp;q=-28.82013,153.59445")</f>
        <v>http://maps.google.com/maps?f=q&amp;hl=en&amp;geocode=&amp;q=-28.82013,153.59445</v>
      </c>
    </row>
    <row r="678" spans="1:13" ht="75" x14ac:dyDescent="0.25">
      <c r="A678" s="4" t="s">
        <v>163</v>
      </c>
      <c r="B678" s="4" t="s">
        <v>22</v>
      </c>
      <c r="C678" s="4" t="s">
        <v>14</v>
      </c>
      <c r="D678" s="4" t="s">
        <v>15</v>
      </c>
      <c r="F678" s="5">
        <v>10</v>
      </c>
      <c r="G678" s="4" t="s">
        <v>164</v>
      </c>
      <c r="H678" s="4" t="s">
        <v>165</v>
      </c>
      <c r="I678" s="4" t="s">
        <v>166</v>
      </c>
      <c r="J678" s="4" t="s">
        <v>19</v>
      </c>
      <c r="K678" s="4" t="s">
        <v>117</v>
      </c>
      <c r="L678" s="4" t="s">
        <v>167</v>
      </c>
      <c r="M678" s="6" t="str">
        <f>HYPERLINK("http://maps.google.com/maps?f=q&amp;hl=en&amp;geocode=&amp;q=-28.22911,153.5273599")</f>
        <v>http://maps.google.com/maps?f=q&amp;hl=en&amp;geocode=&amp;q=-28.22911,153.5273599</v>
      </c>
    </row>
    <row r="679" spans="1:13" ht="60" x14ac:dyDescent="0.25">
      <c r="A679" s="4" t="s">
        <v>157</v>
      </c>
      <c r="B679" s="4" t="s">
        <v>22</v>
      </c>
      <c r="C679" s="4" t="s">
        <v>70</v>
      </c>
      <c r="D679" s="4" t="s">
        <v>15</v>
      </c>
      <c r="F679" s="5" t="s">
        <v>158</v>
      </c>
      <c r="G679" s="4" t="s">
        <v>159</v>
      </c>
      <c r="H679" s="4" t="s">
        <v>160</v>
      </c>
      <c r="I679" s="4" t="s">
        <v>161</v>
      </c>
      <c r="J679" s="4" t="s">
        <v>57</v>
      </c>
      <c r="K679" s="4" t="s">
        <v>25</v>
      </c>
      <c r="L679" s="4" t="s">
        <v>162</v>
      </c>
      <c r="M679" s="6" t="str">
        <f>HYPERLINK("http://maps.google.com/maps?f=q&amp;hl=en&amp;geocode=&amp;q=-28.19635,153.50457")</f>
        <v>http://maps.google.com/maps?f=q&amp;hl=en&amp;geocode=&amp;q=-28.19635,153.50457</v>
      </c>
    </row>
    <row r="680" spans="1:13" ht="60" x14ac:dyDescent="0.25">
      <c r="A680" s="4" t="s">
        <v>151</v>
      </c>
      <c r="B680" s="4" t="s">
        <v>82</v>
      </c>
      <c r="C680" s="4" t="s">
        <v>14</v>
      </c>
      <c r="D680" s="4" t="s">
        <v>41</v>
      </c>
      <c r="F680" s="5" t="s">
        <v>152</v>
      </c>
      <c r="G680" s="4" t="s">
        <v>153</v>
      </c>
      <c r="H680" s="4" t="s">
        <v>154</v>
      </c>
      <c r="I680" s="4" t="s">
        <v>155</v>
      </c>
      <c r="J680" s="4" t="s">
        <v>18</v>
      </c>
      <c r="K680" s="4" t="s">
        <v>66</v>
      </c>
      <c r="L680" s="4" t="s">
        <v>156</v>
      </c>
      <c r="M680" s="6" t="str">
        <f>HYPERLINK("http://maps.google.com/maps?f=q&amp;hl=en&amp;geocode=&amp;q=-28.52702,153.54608")</f>
        <v>http://maps.google.com/maps?f=q&amp;hl=en&amp;geocode=&amp;q=-28.52702,153.54608</v>
      </c>
    </row>
    <row r="681" spans="1:13" ht="60" x14ac:dyDescent="0.25">
      <c r="A681" s="4" t="s">
        <v>147</v>
      </c>
      <c r="B681" s="4" t="s">
        <v>126</v>
      </c>
      <c r="C681" s="4" t="s">
        <v>70</v>
      </c>
      <c r="D681" s="4" t="s">
        <v>15</v>
      </c>
      <c r="F681" s="5">
        <v>22</v>
      </c>
      <c r="G681" s="4" t="s">
        <v>148</v>
      </c>
      <c r="H681" s="4" t="s">
        <v>128</v>
      </c>
      <c r="I681" s="4" t="s">
        <v>149</v>
      </c>
      <c r="J681" s="4" t="s">
        <v>25</v>
      </c>
      <c r="K681" s="4" t="s">
        <v>145</v>
      </c>
      <c r="L681" s="4" t="s">
        <v>150</v>
      </c>
      <c r="M681" s="6" t="str">
        <f>HYPERLINK("http://maps.google.com/maps?f=q&amp;hl=en&amp;geocode=&amp;q=-28.63987,153.00439")</f>
        <v>http://maps.google.com/maps?f=q&amp;hl=en&amp;geocode=&amp;q=-28.63987,153.00439</v>
      </c>
    </row>
    <row r="682" spans="1:13" ht="60" x14ac:dyDescent="0.25">
      <c r="A682" s="4" t="s">
        <v>141</v>
      </c>
      <c r="B682" s="4" t="s">
        <v>69</v>
      </c>
      <c r="C682" s="4" t="s">
        <v>14</v>
      </c>
      <c r="D682" s="4" t="s">
        <v>15</v>
      </c>
      <c r="F682" s="5">
        <v>14</v>
      </c>
      <c r="G682" s="4" t="s">
        <v>142</v>
      </c>
      <c r="H682" s="4" t="s">
        <v>143</v>
      </c>
      <c r="I682" s="4" t="s">
        <v>144</v>
      </c>
      <c r="J682" s="4" t="s">
        <v>19</v>
      </c>
      <c r="K682" s="4" t="s">
        <v>145</v>
      </c>
      <c r="L682" s="4" t="s">
        <v>146</v>
      </c>
      <c r="M682" s="6" t="str">
        <f>HYPERLINK("http://maps.google.com/maps?f=q&amp;hl=en&amp;geocode=&amp;q=-29.49925,153.24174")</f>
        <v>http://maps.google.com/maps?f=q&amp;hl=en&amp;geocode=&amp;q=-29.49925,153.24174</v>
      </c>
    </row>
    <row r="683" spans="1:13" ht="60" x14ac:dyDescent="0.25">
      <c r="A683" s="4" t="s">
        <v>135</v>
      </c>
      <c r="B683" s="4" t="s">
        <v>34</v>
      </c>
      <c r="C683" s="4" t="s">
        <v>14</v>
      </c>
      <c r="D683" s="4" t="s">
        <v>136</v>
      </c>
      <c r="E683" s="4" t="s">
        <v>137</v>
      </c>
      <c r="F683" s="5">
        <v>15</v>
      </c>
      <c r="G683" s="4" t="s">
        <v>138</v>
      </c>
      <c r="H683" s="4" t="s">
        <v>139</v>
      </c>
      <c r="I683" s="4" t="s">
        <v>140</v>
      </c>
      <c r="J683" s="4" t="s">
        <v>18</v>
      </c>
      <c r="K683" s="4" t="s">
        <v>25</v>
      </c>
      <c r="M683" s="6" t="str">
        <f>HYPERLINK("http://maps.google.com/maps?f=q&amp;hl=en&amp;geocode=&amp;q=-28.68311,153.32099")</f>
        <v>http://maps.google.com/maps?f=q&amp;hl=en&amp;geocode=&amp;q=-28.68311,153.32099</v>
      </c>
    </row>
    <row r="684" spans="1:13" ht="60" x14ac:dyDescent="0.25">
      <c r="A684" s="4" t="s">
        <v>130</v>
      </c>
      <c r="B684" s="4" t="s">
        <v>34</v>
      </c>
      <c r="C684" s="4" t="s">
        <v>14</v>
      </c>
      <c r="D684" s="4" t="s">
        <v>15</v>
      </c>
      <c r="F684" s="5">
        <v>9</v>
      </c>
      <c r="G684" s="4" t="s">
        <v>131</v>
      </c>
      <c r="H684" s="4" t="s">
        <v>132</v>
      </c>
      <c r="I684" s="4" t="s">
        <v>133</v>
      </c>
      <c r="J684" s="4" t="s">
        <v>50</v>
      </c>
      <c r="K684" s="4" t="s">
        <v>31</v>
      </c>
      <c r="L684" s="4" t="s">
        <v>134</v>
      </c>
      <c r="M684" s="6" t="str">
        <f>HYPERLINK("http://maps.google.com/maps?f=q&amp;hl=en&amp;geocode=&amp;q=-28.8162,153.28476")</f>
        <v>http://maps.google.com/maps?f=q&amp;hl=en&amp;geocode=&amp;q=-28.8162,153.28476</v>
      </c>
    </row>
    <row r="685" spans="1:13" ht="60" x14ac:dyDescent="0.25">
      <c r="A685" s="4" t="s">
        <v>125</v>
      </c>
      <c r="B685" s="4" t="s">
        <v>126</v>
      </c>
      <c r="C685" s="4" t="s">
        <v>14</v>
      </c>
      <c r="D685" s="4" t="s">
        <v>15</v>
      </c>
      <c r="F685" s="5">
        <v>43</v>
      </c>
      <c r="G685" s="4" t="s">
        <v>127</v>
      </c>
      <c r="H685" s="4" t="s">
        <v>128</v>
      </c>
      <c r="I685" s="4" t="s">
        <v>129</v>
      </c>
      <c r="J685" s="4" t="s">
        <v>57</v>
      </c>
      <c r="K685" s="4" t="s">
        <v>31</v>
      </c>
      <c r="M685" s="6" t="str">
        <f>HYPERLINK("http://maps.google.com/maps?f=q&amp;hl=en&amp;geocode=&amp;q=-28.62297,153.00847")</f>
        <v>http://maps.google.com/maps?f=q&amp;hl=en&amp;geocode=&amp;q=-28.62297,153.00847</v>
      </c>
    </row>
    <row r="686" spans="1:13" ht="75" x14ac:dyDescent="0.25">
      <c r="A686" s="4" t="s">
        <v>124</v>
      </c>
      <c r="B686" s="4" t="s">
        <v>82</v>
      </c>
      <c r="C686" s="4" t="s">
        <v>70</v>
      </c>
      <c r="D686" s="4" t="s">
        <v>41</v>
      </c>
      <c r="F686" s="5" t="s">
        <v>114</v>
      </c>
      <c r="G686" s="4" t="s">
        <v>83</v>
      </c>
      <c r="H686" s="4" t="s">
        <v>115</v>
      </c>
      <c r="I686" s="4" t="s">
        <v>116</v>
      </c>
      <c r="J686" s="4" t="s">
        <v>117</v>
      </c>
      <c r="K686" s="4" t="s">
        <v>25</v>
      </c>
      <c r="L686" s="4" t="s">
        <v>118</v>
      </c>
      <c r="M686" s="6" t="str">
        <f>HYPERLINK("http://maps.google.com/maps?f=q&amp;hl=en&amp;geocode=&amp;q=39.5951309204102,-104.898323059082")</f>
        <v>http://maps.google.com/maps?f=q&amp;hl=en&amp;geocode=&amp;q=39.5951309204102,-104.898323059082</v>
      </c>
    </row>
    <row r="687" spans="1:13" ht="60" x14ac:dyDescent="0.25">
      <c r="A687" s="4" t="s">
        <v>119</v>
      </c>
      <c r="B687" s="4" t="s">
        <v>28</v>
      </c>
      <c r="C687" s="4" t="s">
        <v>70</v>
      </c>
      <c r="D687" s="4" t="s">
        <v>15</v>
      </c>
      <c r="F687" s="5">
        <v>11</v>
      </c>
      <c r="G687" s="4" t="s">
        <v>120</v>
      </c>
      <c r="H687" s="4" t="s">
        <v>121</v>
      </c>
      <c r="I687" s="4" t="s">
        <v>122</v>
      </c>
      <c r="J687" s="4" t="s">
        <v>117</v>
      </c>
      <c r="K687" s="4" t="s">
        <v>50</v>
      </c>
      <c r="L687" s="4" t="s">
        <v>123</v>
      </c>
      <c r="M687" s="6" t="str">
        <f>HYPERLINK("http://maps.google.com/maps?f=q&amp;hl=en&amp;geocode=&amp;q=-28.84632,153.45791")</f>
        <v>http://maps.google.com/maps?f=q&amp;hl=en&amp;geocode=&amp;q=-28.84632,153.45791</v>
      </c>
    </row>
    <row r="688" spans="1:13" ht="75" x14ac:dyDescent="0.25">
      <c r="A688" s="4" t="s">
        <v>113</v>
      </c>
      <c r="B688" s="4" t="s">
        <v>82</v>
      </c>
      <c r="C688" s="4" t="s">
        <v>70</v>
      </c>
      <c r="D688" s="4" t="s">
        <v>41</v>
      </c>
      <c r="F688" s="5" t="s">
        <v>114</v>
      </c>
      <c r="G688" s="4" t="s">
        <v>83</v>
      </c>
      <c r="H688" s="4" t="s">
        <v>115</v>
      </c>
      <c r="I688" s="4" t="s">
        <v>116</v>
      </c>
      <c r="J688" s="4" t="s">
        <v>117</v>
      </c>
      <c r="K688" s="4" t="s">
        <v>25</v>
      </c>
      <c r="L688" s="4" t="s">
        <v>118</v>
      </c>
      <c r="M688" s="6" t="str">
        <f>HYPERLINK("http://maps.google.com/maps?f=q&amp;hl=en&amp;geocode=&amp;q=39.5951309204102,-104.898323059082")</f>
        <v>http://maps.google.com/maps?f=q&amp;hl=en&amp;geocode=&amp;q=39.5951309204102,-104.898323059082</v>
      </c>
    </row>
    <row r="689" spans="1:13" ht="75" x14ac:dyDescent="0.25">
      <c r="A689" s="4" t="s">
        <v>108</v>
      </c>
      <c r="B689" s="4" t="s">
        <v>22</v>
      </c>
      <c r="C689" s="4" t="s">
        <v>14</v>
      </c>
      <c r="D689" s="4" t="s">
        <v>15</v>
      </c>
      <c r="F689" s="5">
        <v>9</v>
      </c>
      <c r="G689" s="4" t="s">
        <v>109</v>
      </c>
      <c r="H689" s="4" t="s">
        <v>110</v>
      </c>
      <c r="I689" s="4" t="s">
        <v>111</v>
      </c>
      <c r="J689" s="4" t="s">
        <v>19</v>
      </c>
      <c r="K689" s="4" t="s">
        <v>44</v>
      </c>
      <c r="L689" s="4" t="s">
        <v>112</v>
      </c>
      <c r="M689" s="6" t="str">
        <f>HYPERLINK("http://maps.google.com/maps?f=q&amp;hl=en&amp;geocode=&amp;q=-28.3299503326416,153.391693115234")</f>
        <v>http://maps.google.com/maps?f=q&amp;hl=en&amp;geocode=&amp;q=-28.3299503326416,153.391693115234</v>
      </c>
    </row>
    <row r="690" spans="1:13" ht="60" x14ac:dyDescent="0.25">
      <c r="A690" s="4" t="s">
        <v>105</v>
      </c>
      <c r="B690" s="4" t="s">
        <v>28</v>
      </c>
      <c r="C690" s="4" t="s">
        <v>14</v>
      </c>
      <c r="D690" s="4" t="s">
        <v>15</v>
      </c>
      <c r="F690" s="5">
        <v>2</v>
      </c>
      <c r="G690" s="4" t="s">
        <v>106</v>
      </c>
      <c r="H690" s="4" t="s">
        <v>107</v>
      </c>
      <c r="J690" s="4" t="s">
        <v>44</v>
      </c>
      <c r="M690" s="6" t="str">
        <f>HYPERLINK("http://maps.google.com/maps?f=q&amp;hl=en&amp;geocode=&amp;q=-28.85045,153.55392")</f>
        <v>http://maps.google.com/maps?f=q&amp;hl=en&amp;geocode=&amp;q=-28.85045,153.55392</v>
      </c>
    </row>
    <row r="691" spans="1:13" ht="60" x14ac:dyDescent="0.25">
      <c r="A691" s="4" t="s">
        <v>101</v>
      </c>
      <c r="B691" s="4" t="s">
        <v>22</v>
      </c>
      <c r="C691" s="4" t="s">
        <v>14</v>
      </c>
      <c r="D691" s="4" t="s">
        <v>15</v>
      </c>
      <c r="F691" s="5">
        <v>13</v>
      </c>
      <c r="G691" s="4" t="s">
        <v>102</v>
      </c>
      <c r="H691" s="4" t="s">
        <v>103</v>
      </c>
      <c r="I691" s="4" t="s">
        <v>104</v>
      </c>
      <c r="J691" s="4" t="s">
        <v>31</v>
      </c>
      <c r="K691" s="4" t="s">
        <v>19</v>
      </c>
      <c r="M691" s="6" t="str">
        <f>HYPERLINK("http://maps.google.com/maps?f=q&amp;hl=en&amp;geocode=&amp;q=-28.33027,153.40084")</f>
        <v>http://maps.google.com/maps?f=q&amp;hl=en&amp;geocode=&amp;q=-28.33027,153.40084</v>
      </c>
    </row>
    <row r="692" spans="1:13" ht="60" x14ac:dyDescent="0.25">
      <c r="A692" s="4" t="s">
        <v>97</v>
      </c>
      <c r="B692" s="4" t="s">
        <v>82</v>
      </c>
      <c r="C692" s="4" t="s">
        <v>14</v>
      </c>
      <c r="D692" s="4" t="s">
        <v>15</v>
      </c>
      <c r="F692" s="5">
        <v>10</v>
      </c>
      <c r="G692" s="4" t="s">
        <v>98</v>
      </c>
      <c r="H692" s="4" t="s">
        <v>84</v>
      </c>
      <c r="I692" s="4" t="s">
        <v>99</v>
      </c>
      <c r="J692" s="4" t="s">
        <v>38</v>
      </c>
      <c r="K692" s="4" t="s">
        <v>18</v>
      </c>
      <c r="L692" s="4" t="s">
        <v>100</v>
      </c>
      <c r="M692" s="6" t="str">
        <f>HYPERLINK("http://maps.google.com/maps?f=q&amp;hl=en&amp;geocode=&amp;q=-28.63443,153.58048")</f>
        <v>http://maps.google.com/maps?f=q&amp;hl=en&amp;geocode=&amp;q=-28.63443,153.58048</v>
      </c>
    </row>
    <row r="693" spans="1:13" ht="60" x14ac:dyDescent="0.25">
      <c r="A693" s="4" t="s">
        <v>90</v>
      </c>
      <c r="B693" s="4" t="s">
        <v>28</v>
      </c>
      <c r="C693" s="4" t="s">
        <v>14</v>
      </c>
      <c r="D693" s="4" t="s">
        <v>41</v>
      </c>
      <c r="F693" s="5" t="s">
        <v>91</v>
      </c>
      <c r="G693" s="4" t="s">
        <v>92</v>
      </c>
      <c r="H693" s="4" t="s">
        <v>93</v>
      </c>
      <c r="I693" s="4" t="s">
        <v>94</v>
      </c>
      <c r="J693" s="4" t="s">
        <v>25</v>
      </c>
      <c r="K693" s="4" t="s">
        <v>95</v>
      </c>
      <c r="L693" s="4" t="s">
        <v>96</v>
      </c>
      <c r="M693" s="6" t="str">
        <f>HYPERLINK("http://maps.google.com/maps?f=q&amp;hl=en&amp;geocode=&amp;q=-28.82434,153.41488")</f>
        <v>http://maps.google.com/maps?f=q&amp;hl=en&amp;geocode=&amp;q=-28.82434,153.41488</v>
      </c>
    </row>
    <row r="694" spans="1:13" ht="60" x14ac:dyDescent="0.25">
      <c r="A694" s="4" t="s">
        <v>85</v>
      </c>
      <c r="B694" s="4" t="s">
        <v>82</v>
      </c>
      <c r="C694" s="4" t="s">
        <v>14</v>
      </c>
      <c r="D694" s="4" t="s">
        <v>15</v>
      </c>
      <c r="F694" s="5" t="s">
        <v>86</v>
      </c>
      <c r="G694" s="4" t="s">
        <v>87</v>
      </c>
      <c r="H694" s="4" t="s">
        <v>88</v>
      </c>
      <c r="I694" s="4" t="s">
        <v>89</v>
      </c>
      <c r="J694" s="4" t="s">
        <v>18</v>
      </c>
      <c r="K694" s="4" t="s">
        <v>18</v>
      </c>
      <c r="M694" s="6" t="str">
        <f>HYPERLINK("http://maps.google.com/maps?f=q&amp;hl=en&amp;geocode=&amp;q=-28.63458,153.58723")</f>
        <v>http://maps.google.com/maps?f=q&amp;hl=en&amp;geocode=&amp;q=-28.63458,153.58723</v>
      </c>
    </row>
    <row r="695" spans="1:13" ht="60" x14ac:dyDescent="0.25">
      <c r="A695" s="4" t="s">
        <v>81</v>
      </c>
      <c r="B695" s="4" t="s">
        <v>82</v>
      </c>
      <c r="C695" s="4" t="s">
        <v>14</v>
      </c>
      <c r="F695" s="5">
        <v>1</v>
      </c>
      <c r="G695" s="4" t="s">
        <v>83</v>
      </c>
      <c r="H695" s="4" t="s">
        <v>84</v>
      </c>
      <c r="I695" s="4" t="s">
        <v>18</v>
      </c>
      <c r="J695" s="4" t="s">
        <v>18</v>
      </c>
      <c r="K695" s="4" t="s">
        <v>19</v>
      </c>
      <c r="M695" s="6" t="str">
        <f>HYPERLINK("http://maps.google.com/maps?f=q&amp;hl=en&amp;geocode=&amp;q=-28.63392,153.5821")</f>
        <v>http://maps.google.com/maps?f=q&amp;hl=en&amp;geocode=&amp;q=-28.63392,153.5821</v>
      </c>
    </row>
    <row r="696" spans="1:13" ht="60" x14ac:dyDescent="0.25">
      <c r="A696" s="4" t="s">
        <v>75</v>
      </c>
      <c r="B696" s="4" t="s">
        <v>69</v>
      </c>
      <c r="C696" s="4" t="s">
        <v>14</v>
      </c>
      <c r="D696" s="4" t="s">
        <v>41</v>
      </c>
      <c r="F696" s="5">
        <v>5</v>
      </c>
      <c r="G696" s="4" t="s">
        <v>76</v>
      </c>
      <c r="H696" s="4" t="s">
        <v>77</v>
      </c>
      <c r="I696" s="4" t="s">
        <v>78</v>
      </c>
      <c r="J696" s="4" t="s">
        <v>25</v>
      </c>
      <c r="K696" s="4" t="s">
        <v>79</v>
      </c>
      <c r="L696" s="4" t="s">
        <v>80</v>
      </c>
      <c r="M696" s="6" t="str">
        <f>HYPERLINK("http://maps.google.com/maps?f=q&amp;hl=en&amp;geocode=&amp;q=-29.82723,152.88965")</f>
        <v>http://maps.google.com/maps?f=q&amp;hl=en&amp;geocode=&amp;q=-29.82723,152.88965</v>
      </c>
    </row>
    <row r="697" spans="1:13" ht="60" x14ac:dyDescent="0.25">
      <c r="A697" s="4" t="s">
        <v>68</v>
      </c>
      <c r="B697" s="4" t="s">
        <v>69</v>
      </c>
      <c r="C697" s="4" t="s">
        <v>70</v>
      </c>
      <c r="D697" s="4" t="s">
        <v>15</v>
      </c>
      <c r="F697" s="5">
        <v>29</v>
      </c>
      <c r="G697" s="4" t="s">
        <v>71</v>
      </c>
      <c r="H697" s="4" t="s">
        <v>72</v>
      </c>
      <c r="I697" s="4" t="s">
        <v>73</v>
      </c>
      <c r="J697" s="4" t="s">
        <v>74</v>
      </c>
      <c r="K697" s="4" t="s">
        <v>19</v>
      </c>
      <c r="M697" s="6" t="str">
        <f>HYPERLINK("http://maps.google.com/maps?f=q&amp;hl=en&amp;geocode=&amp;q=-29.43633,153.35834")</f>
        <v>http://maps.google.com/maps?f=q&amp;hl=en&amp;geocode=&amp;q=-29.43633,153.35834</v>
      </c>
    </row>
    <row r="698" spans="1:13" ht="60" x14ac:dyDescent="0.25">
      <c r="A698" s="4" t="s">
        <v>62</v>
      </c>
      <c r="B698" s="4" t="s">
        <v>13</v>
      </c>
      <c r="C698" s="4" t="s">
        <v>14</v>
      </c>
      <c r="D698" s="4" t="s">
        <v>41</v>
      </c>
      <c r="F698" s="5">
        <v>19</v>
      </c>
      <c r="G698" s="4" t="s">
        <v>63</v>
      </c>
      <c r="H698" s="4" t="s">
        <v>64</v>
      </c>
      <c r="I698" s="4" t="s">
        <v>65</v>
      </c>
      <c r="J698" s="4" t="s">
        <v>66</v>
      </c>
      <c r="K698" s="4" t="s">
        <v>49</v>
      </c>
      <c r="L698" s="4" t="s">
        <v>67</v>
      </c>
      <c r="M698" s="6" t="str">
        <f>HYPERLINK("http://maps.google.com/maps?f=q&amp;hl=en&amp;geocode=&amp;q=-28.81555,153.07003")</f>
        <v>http://maps.google.com/maps?f=q&amp;hl=en&amp;geocode=&amp;q=-28.81555,153.07003</v>
      </c>
    </row>
    <row r="699" spans="1:13" ht="60" x14ac:dyDescent="0.25">
      <c r="A699" s="4" t="s">
        <v>59</v>
      </c>
      <c r="B699" s="4" t="s">
        <v>34</v>
      </c>
      <c r="C699" s="4" t="s">
        <v>14</v>
      </c>
      <c r="D699" s="4" t="s">
        <v>15</v>
      </c>
      <c r="F699" s="5">
        <v>29</v>
      </c>
      <c r="G699" s="4" t="s">
        <v>60</v>
      </c>
      <c r="H699" s="4" t="s">
        <v>61</v>
      </c>
      <c r="J699" s="4" t="s">
        <v>25</v>
      </c>
      <c r="K699" s="4" t="s">
        <v>18</v>
      </c>
      <c r="M699" s="6" t="str">
        <f>HYPERLINK("http://maps.google.com/maps?f=q&amp;hl=en&amp;geocode=&amp;q=-28.81965,153.31946")</f>
        <v>http://maps.google.com/maps?f=q&amp;hl=en&amp;geocode=&amp;q=-28.81965,153.31946</v>
      </c>
    </row>
    <row r="700" spans="1:13" ht="60" x14ac:dyDescent="0.25">
      <c r="A700" s="4" t="s">
        <v>53</v>
      </c>
      <c r="B700" s="4" t="s">
        <v>22</v>
      </c>
      <c r="C700" s="4" t="s">
        <v>14</v>
      </c>
      <c r="D700" s="4" t="s">
        <v>15</v>
      </c>
      <c r="F700" s="5">
        <v>14</v>
      </c>
      <c r="G700" s="4" t="s">
        <v>54</v>
      </c>
      <c r="H700" s="4" t="s">
        <v>55</v>
      </c>
      <c r="I700" s="4" t="s">
        <v>56</v>
      </c>
      <c r="J700" s="4" t="s">
        <v>57</v>
      </c>
      <c r="K700" s="4" t="s">
        <v>18</v>
      </c>
      <c r="L700" s="4" t="s">
        <v>58</v>
      </c>
      <c r="M700" s="6" t="str">
        <f>HYPERLINK("http://maps.google.com/maps?f=q&amp;hl=en&amp;geocode=&amp;q=-28.18876,153.53944")</f>
        <v>http://maps.google.com/maps?f=q&amp;hl=en&amp;geocode=&amp;q=-28.18876,153.53944</v>
      </c>
    </row>
    <row r="701" spans="1:13" ht="60" x14ac:dyDescent="0.25">
      <c r="A701" s="4" t="s">
        <v>52</v>
      </c>
      <c r="B701" s="4" t="s">
        <v>28</v>
      </c>
      <c r="C701" s="4" t="s">
        <v>14</v>
      </c>
      <c r="D701" s="4" t="s">
        <v>15</v>
      </c>
      <c r="F701" s="5" t="s">
        <v>46</v>
      </c>
      <c r="G701" s="4" t="s">
        <v>47</v>
      </c>
      <c r="H701" s="4" t="s">
        <v>30</v>
      </c>
      <c r="I701" s="4" t="s">
        <v>48</v>
      </c>
      <c r="J701" s="4" t="s">
        <v>49</v>
      </c>
      <c r="K701" s="4" t="s">
        <v>50</v>
      </c>
      <c r="L701" s="4" t="s">
        <v>51</v>
      </c>
      <c r="M701" s="6" t="str">
        <f>HYPERLINK("http://maps.google.com/maps?f=q&amp;hl=en&amp;geocode=&amp;q=-28.80225,153.58737")</f>
        <v>http://maps.google.com/maps?f=q&amp;hl=en&amp;geocode=&amp;q=-28.80225,153.58737</v>
      </c>
    </row>
    <row r="702" spans="1:13" ht="60" x14ac:dyDescent="0.25">
      <c r="A702" s="4" t="s">
        <v>45</v>
      </c>
      <c r="B702" s="4" t="s">
        <v>28</v>
      </c>
      <c r="C702" s="4" t="s">
        <v>14</v>
      </c>
      <c r="D702" s="4" t="s">
        <v>15</v>
      </c>
      <c r="F702" s="5" t="s">
        <v>46</v>
      </c>
      <c r="G702" s="4" t="s">
        <v>47</v>
      </c>
      <c r="H702" s="4" t="s">
        <v>30</v>
      </c>
      <c r="I702" s="4" t="s">
        <v>48</v>
      </c>
      <c r="J702" s="4" t="s">
        <v>49</v>
      </c>
      <c r="K702" s="4" t="s">
        <v>50</v>
      </c>
      <c r="L702" s="4" t="s">
        <v>51</v>
      </c>
      <c r="M702" s="6" t="str">
        <f>HYPERLINK("http://maps.google.com/maps?f=q&amp;hl=en&amp;geocode=&amp;q=-28.80225,153.58737")</f>
        <v>http://maps.google.com/maps?f=q&amp;hl=en&amp;geocode=&amp;q=-28.80225,153.58737</v>
      </c>
    </row>
    <row r="703" spans="1:13" ht="60" x14ac:dyDescent="0.25">
      <c r="A703" s="4" t="s">
        <v>40</v>
      </c>
      <c r="B703" s="4" t="s">
        <v>28</v>
      </c>
      <c r="C703" s="4" t="s">
        <v>14</v>
      </c>
      <c r="D703" s="4" t="s">
        <v>41</v>
      </c>
      <c r="F703" s="5">
        <v>23</v>
      </c>
      <c r="G703" s="4" t="s">
        <v>42</v>
      </c>
      <c r="H703" s="4" t="s">
        <v>30</v>
      </c>
      <c r="I703" s="4" t="s">
        <v>43</v>
      </c>
      <c r="J703" s="4" t="s">
        <v>18</v>
      </c>
      <c r="K703" s="4" t="s">
        <v>19</v>
      </c>
      <c r="L703" s="4" t="s">
        <v>44</v>
      </c>
      <c r="M703" s="6" t="str">
        <f>HYPERLINK("http://maps.google.com/maps?f=q&amp;hl=en&amp;geocode=&amp;q=-28.7994,153.58722")</f>
        <v>http://maps.google.com/maps?f=q&amp;hl=en&amp;geocode=&amp;q=-28.7994,153.58722</v>
      </c>
    </row>
    <row r="704" spans="1:13" ht="60" x14ac:dyDescent="0.25">
      <c r="A704" s="4" t="s">
        <v>33</v>
      </c>
      <c r="B704" s="4" t="s">
        <v>34</v>
      </c>
      <c r="C704" s="4" t="s">
        <v>14</v>
      </c>
      <c r="D704" s="4" t="s">
        <v>15</v>
      </c>
      <c r="F704" s="5">
        <v>5</v>
      </c>
      <c r="G704" s="4" t="s">
        <v>35</v>
      </c>
      <c r="H704" s="4" t="s">
        <v>36</v>
      </c>
      <c r="I704" s="4" t="s">
        <v>37</v>
      </c>
      <c r="J704" s="4" t="s">
        <v>38</v>
      </c>
      <c r="K704" s="4" t="s">
        <v>31</v>
      </c>
      <c r="L704" s="4" t="s">
        <v>39</v>
      </c>
      <c r="M704" s="6" t="str">
        <f>HYPERLINK("http://maps.google.com/maps?f=q&amp;hl=en&amp;geocode=&amp;q=-28.8023,153.25728")</f>
        <v>http://maps.google.com/maps?f=q&amp;hl=en&amp;geocode=&amp;q=-28.8023,153.25728</v>
      </c>
    </row>
    <row r="705" spans="1:13" ht="60" x14ac:dyDescent="0.25">
      <c r="A705" s="4" t="s">
        <v>27</v>
      </c>
      <c r="B705" s="4" t="s">
        <v>28</v>
      </c>
      <c r="C705" s="4" t="s">
        <v>14</v>
      </c>
      <c r="D705" s="4" t="s">
        <v>15</v>
      </c>
      <c r="F705" s="5">
        <v>51</v>
      </c>
      <c r="G705" s="4" t="s">
        <v>29</v>
      </c>
      <c r="H705" s="4" t="s">
        <v>30</v>
      </c>
      <c r="I705" s="4" t="s">
        <v>31</v>
      </c>
      <c r="J705" s="4" t="s">
        <v>19</v>
      </c>
      <c r="K705" s="4" t="s">
        <v>18</v>
      </c>
      <c r="L705" s="4" t="s">
        <v>32</v>
      </c>
      <c r="M705" s="6" t="str">
        <f>HYPERLINK("http://maps.google.com/maps?f=q&amp;hl=en&amp;geocode=&amp;q=-28.77852,153.57569")</f>
        <v>http://maps.google.com/maps?f=q&amp;hl=en&amp;geocode=&amp;q=-28.77852,153.57569</v>
      </c>
    </row>
    <row r="706" spans="1:13" ht="60" x14ac:dyDescent="0.25">
      <c r="A706" s="4" t="s">
        <v>21</v>
      </c>
      <c r="B706" s="4" t="s">
        <v>22</v>
      </c>
      <c r="C706" s="4" t="s">
        <v>14</v>
      </c>
      <c r="D706" s="4" t="s">
        <v>15</v>
      </c>
      <c r="F706" s="5">
        <v>2</v>
      </c>
      <c r="G706" s="4" t="s">
        <v>23</v>
      </c>
      <c r="H706" s="4" t="s">
        <v>24</v>
      </c>
      <c r="J706" s="4" t="s">
        <v>25</v>
      </c>
      <c r="K706" s="4" t="s">
        <v>18</v>
      </c>
      <c r="L706" s="4" t="s">
        <v>26</v>
      </c>
      <c r="M706" s="6" t="str">
        <f>HYPERLINK("http://maps.google.com/maps?f=q&amp;hl=en&amp;geocode=&amp;q=-28.34113,153.56784")</f>
        <v>http://maps.google.com/maps?f=q&amp;hl=en&amp;geocode=&amp;q=-28.34113,153.56784</v>
      </c>
    </row>
    <row r="707" spans="1:13" ht="60" x14ac:dyDescent="0.25">
      <c r="A707" s="4" t="s">
        <v>12</v>
      </c>
      <c r="B707" s="4" t="s">
        <v>13</v>
      </c>
      <c r="C707" s="4" t="s">
        <v>14</v>
      </c>
      <c r="D707" s="4" t="s">
        <v>15</v>
      </c>
      <c r="F707" s="5">
        <v>56</v>
      </c>
      <c r="G707" s="4" t="s">
        <v>16</v>
      </c>
      <c r="H707" s="4" t="s">
        <v>17</v>
      </c>
      <c r="J707" s="4" t="s">
        <v>18</v>
      </c>
      <c r="K707" s="4" t="s">
        <v>19</v>
      </c>
      <c r="L707" s="4" t="s">
        <v>20</v>
      </c>
      <c r="M707" s="6" t="str">
        <f>HYPERLINK("http://maps.google.com/maps?f=q&amp;hl=en&amp;geocode=&amp;q=-29.11405,153.42691")</f>
        <v>http://maps.google.com/maps?f=q&amp;hl=en&amp;geocode=&amp;q=-29.11405,153.42691</v>
      </c>
    </row>
  </sheetData>
  <sortState ref="A2:L70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2017-09-19T13:20:49Z</dcterms:created>
  <dcterms:modified xsi:type="dcterms:W3CDTF">2017-09-21T15:24:57Z</dcterms:modified>
</cp:coreProperties>
</file>